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G:\SERVICIO DOMESTICO\"/>
    </mc:Choice>
  </mc:AlternateContent>
  <xr:revisionPtr revIDLastSave="0" documentId="8_{8FFF29DE-75F2-4324-BD57-91EFEC23BEDC}" xr6:coauthVersionLast="47" xr6:coauthVersionMax="47" xr10:uidLastSave="{00000000-0000-0000-0000-000000000000}"/>
  <bookViews>
    <workbookView xWindow="-120" yWindow="-120" windowWidth="29040" windowHeight="15840" xr2:uid="{00000000-000D-0000-FFFF-FFFF00000000}"/>
  </bookViews>
  <sheets>
    <sheet name="Limpia" sheetId="5" r:id="rId1"/>
    <sheet name="Tablas" sheetId="1" r:id="rId2"/>
    <sheet name="Instructivo" sheetId="6" r:id="rId3"/>
    <sheet name="Aclaraciones" sheetId="7" r:id="rId4"/>
    <sheet name="Metodologia" sheetId="9" r:id="rId5"/>
    <sheet name="Créditos" sheetId="10" r:id="rId6"/>
  </sheets>
  <definedNames>
    <definedName name="_xlnm._FilterDatabase" localSheetId="0" hidden="1">Limpia!$A$1:$X$208</definedName>
    <definedName name="abril">Tablas!$J$5:$L$14</definedName>
    <definedName name="agost">Tablas!$V$5:$X$14</definedName>
    <definedName name="_xlnm.Print_Area" localSheetId="0">Limpia!$B$1:$W$208</definedName>
    <definedName name="diciem">Tablas!$AH$5:$AJ$14</definedName>
    <definedName name="enero">Tablas!$A$5:$C$14</definedName>
    <definedName name="febre">Tablas!$D$5:$F$14</definedName>
    <definedName name="julio">Tablas!$S$5:$U$14</definedName>
    <definedName name="junio">Tablas!$P$5:$R$14</definedName>
    <definedName name="marzo">Tablas!$G$5:$I$14</definedName>
    <definedName name="mayo">Tablas!$M$5:$O$14</definedName>
    <definedName name="novie">Tablas!$AE$5:$AG$14</definedName>
    <definedName name="octub">Tablas!$AB$5:$AD$14</definedName>
    <definedName name="septi">Tablas!$Y$5:$AA$14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5" i="5" l="1"/>
  <c r="T155" i="5"/>
  <c r="S155" i="5"/>
  <c r="R155" i="5"/>
  <c r="Q155" i="5"/>
  <c r="P155" i="5"/>
  <c r="O155" i="5"/>
  <c r="N155" i="5"/>
  <c r="M155" i="5"/>
  <c r="L155" i="5"/>
  <c r="K155" i="5"/>
  <c r="J155" i="5"/>
  <c r="I155" i="5"/>
  <c r="U154" i="5"/>
  <c r="T154" i="5"/>
  <c r="S154" i="5"/>
  <c r="R154" i="5"/>
  <c r="Q154" i="5"/>
  <c r="P154" i="5"/>
  <c r="O154" i="5"/>
  <c r="N154" i="5"/>
  <c r="M154" i="5"/>
  <c r="L154" i="5"/>
  <c r="K154" i="5"/>
  <c r="J154" i="5"/>
  <c r="I154" i="5"/>
  <c r="U153" i="5"/>
  <c r="T153" i="5"/>
  <c r="S153" i="5"/>
  <c r="R153" i="5"/>
  <c r="Q153" i="5"/>
  <c r="P153" i="5"/>
  <c r="O153" i="5"/>
  <c r="N153" i="5"/>
  <c r="M153" i="5"/>
  <c r="L153" i="5"/>
  <c r="K153" i="5"/>
  <c r="J153" i="5"/>
  <c r="I153" i="5"/>
  <c r="U152" i="5"/>
  <c r="T152" i="5"/>
  <c r="S152" i="5"/>
  <c r="R152" i="5"/>
  <c r="Q152" i="5"/>
  <c r="P152" i="5"/>
  <c r="O152" i="5"/>
  <c r="N152" i="5"/>
  <c r="M152" i="5"/>
  <c r="L152" i="5"/>
  <c r="K152" i="5"/>
  <c r="J152" i="5"/>
  <c r="I152" i="5"/>
  <c r="U151" i="5"/>
  <c r="T151" i="5"/>
  <c r="S151" i="5"/>
  <c r="R151" i="5"/>
  <c r="Q151" i="5"/>
  <c r="P151" i="5"/>
  <c r="O151" i="5"/>
  <c r="N151" i="5"/>
  <c r="M151" i="5"/>
  <c r="L151" i="5"/>
  <c r="K151" i="5"/>
  <c r="J151" i="5"/>
  <c r="I151" i="5"/>
  <c r="U150" i="5"/>
  <c r="T150" i="5"/>
  <c r="S150" i="5"/>
  <c r="R150" i="5"/>
  <c r="Q150" i="5"/>
  <c r="P150" i="5"/>
  <c r="O150" i="5"/>
  <c r="N150" i="5"/>
  <c r="M150" i="5"/>
  <c r="L150" i="5"/>
  <c r="K150" i="5"/>
  <c r="J150" i="5"/>
  <c r="I150" i="5"/>
  <c r="U149" i="5"/>
  <c r="T149" i="5"/>
  <c r="S149" i="5"/>
  <c r="R149" i="5"/>
  <c r="Q149" i="5"/>
  <c r="P149" i="5"/>
  <c r="O149" i="5"/>
  <c r="N149" i="5"/>
  <c r="M149" i="5"/>
  <c r="L149" i="5"/>
  <c r="K149" i="5"/>
  <c r="J149" i="5"/>
  <c r="I149" i="5"/>
  <c r="U145" i="5"/>
  <c r="T145" i="5"/>
  <c r="S145" i="5"/>
  <c r="R145" i="5"/>
  <c r="Q145" i="5"/>
  <c r="P145" i="5"/>
  <c r="O145" i="5"/>
  <c r="N145" i="5"/>
  <c r="M145" i="5"/>
  <c r="L145" i="5"/>
  <c r="K145" i="5"/>
  <c r="J145" i="5"/>
  <c r="I145" i="5"/>
  <c r="U144" i="5"/>
  <c r="T144" i="5"/>
  <c r="S144" i="5"/>
  <c r="R144" i="5"/>
  <c r="Q144" i="5"/>
  <c r="P144" i="5"/>
  <c r="O144" i="5"/>
  <c r="N144" i="5"/>
  <c r="M144" i="5"/>
  <c r="L144" i="5"/>
  <c r="K144" i="5"/>
  <c r="J144" i="5"/>
  <c r="I144" i="5"/>
  <c r="V208" i="5"/>
  <c r="V207" i="5"/>
  <c r="V206" i="5"/>
  <c r="V205" i="5"/>
  <c r="V204" i="5"/>
  <c r="V203" i="5"/>
  <c r="V202" i="5"/>
  <c r="V201" i="5"/>
  <c r="V200" i="5"/>
  <c r="V199" i="5"/>
  <c r="V198" i="5"/>
  <c r="V197" i="5"/>
  <c r="V4" i="5"/>
  <c r="V196" i="5"/>
  <c r="V164" i="5" s="1"/>
  <c r="V142" i="5"/>
  <c r="V165" i="5" l="1"/>
  <c r="V143" i="5"/>
  <c r="V141" i="5"/>
  <c r="V140" i="5"/>
  <c r="U101" i="5"/>
  <c r="T101" i="5"/>
  <c r="S101" i="5"/>
  <c r="R101" i="5"/>
  <c r="Q101" i="5"/>
  <c r="P101" i="5"/>
  <c r="O101" i="5"/>
  <c r="N101" i="5"/>
  <c r="M101" i="5"/>
  <c r="L101" i="5"/>
  <c r="K101" i="5"/>
  <c r="J101" i="5"/>
  <c r="I101" i="5"/>
  <c r="U98" i="5"/>
  <c r="T98" i="5"/>
  <c r="S98" i="5"/>
  <c r="R98" i="5"/>
  <c r="Q98" i="5"/>
  <c r="P98" i="5"/>
  <c r="O98" i="5"/>
  <c r="N98" i="5"/>
  <c r="M98" i="5"/>
  <c r="L98" i="5"/>
  <c r="K98" i="5"/>
  <c r="J98" i="5"/>
  <c r="I98" i="5"/>
  <c r="H101" i="5"/>
  <c r="H98" i="5"/>
  <c r="U89" i="5"/>
  <c r="T89" i="5"/>
  <c r="S89" i="5"/>
  <c r="R89" i="5"/>
  <c r="Q89" i="5"/>
  <c r="P89" i="5"/>
  <c r="O89" i="5"/>
  <c r="N89" i="5"/>
  <c r="M89" i="5"/>
  <c r="L89" i="5"/>
  <c r="K89" i="5"/>
  <c r="J89" i="5"/>
  <c r="I89" i="5"/>
  <c r="W60" i="5"/>
  <c r="W52" i="5"/>
  <c r="X50" i="5"/>
  <c r="X49" i="5"/>
  <c r="W49" i="5" s="1"/>
  <c r="X48" i="5"/>
  <c r="V48" i="5" s="1"/>
  <c r="X22" i="5"/>
  <c r="X21" i="5"/>
  <c r="W21" i="5" s="1"/>
  <c r="X20" i="5"/>
  <c r="U93" i="5"/>
  <c r="T93" i="5"/>
  <c r="S93" i="5"/>
  <c r="R93" i="5"/>
  <c r="Q93" i="5"/>
  <c r="P93" i="5"/>
  <c r="O93" i="5"/>
  <c r="N93" i="5"/>
  <c r="M93" i="5"/>
  <c r="L93" i="5"/>
  <c r="K93" i="5"/>
  <c r="J93" i="5"/>
  <c r="I93" i="5"/>
  <c r="U92" i="5"/>
  <c r="T92" i="5"/>
  <c r="S92" i="5"/>
  <c r="R92" i="5"/>
  <c r="Q92" i="5"/>
  <c r="P92" i="5"/>
  <c r="O92" i="5"/>
  <c r="N92" i="5"/>
  <c r="M92" i="5"/>
  <c r="L92" i="5"/>
  <c r="K92" i="5"/>
  <c r="J92" i="5"/>
  <c r="I92" i="5"/>
  <c r="H112" i="5"/>
  <c r="H110" i="5"/>
  <c r="H108" i="5"/>
  <c r="H107" i="5"/>
  <c r="H93" i="5"/>
  <c r="H92" i="5"/>
  <c r="H89" i="5"/>
  <c r="M94" i="5" l="1"/>
  <c r="S94" i="5"/>
  <c r="J94" i="5"/>
  <c r="J96" i="5" s="1"/>
  <c r="Q94" i="5"/>
  <c r="Q96" i="5" s="1"/>
  <c r="I94" i="5"/>
  <c r="O94" i="5"/>
  <c r="O96" i="5" s="1"/>
  <c r="U94" i="5"/>
  <c r="U96" i="5" s="1"/>
  <c r="R94" i="5"/>
  <c r="R96" i="5" s="1"/>
  <c r="T94" i="5"/>
  <c r="X98" i="5"/>
  <c r="X101" i="5"/>
  <c r="P94" i="5"/>
  <c r="P96" i="5" s="1"/>
  <c r="N94" i="5"/>
  <c r="X92" i="5"/>
  <c r="X93" i="5"/>
  <c r="K94" i="5"/>
  <c r="K96" i="5" s="1"/>
  <c r="X89" i="5"/>
  <c r="U193" i="5"/>
  <c r="T193" i="5"/>
  <c r="S193" i="5"/>
  <c r="R193" i="5"/>
  <c r="Q193" i="5"/>
  <c r="P193" i="5"/>
  <c r="O193" i="5"/>
  <c r="N193" i="5"/>
  <c r="M193" i="5"/>
  <c r="L193" i="5"/>
  <c r="K193" i="5"/>
  <c r="J193" i="5"/>
  <c r="I193" i="5"/>
  <c r="H193" i="5"/>
  <c r="U53" i="5"/>
  <c r="T53" i="5"/>
  <c r="S53" i="5"/>
  <c r="R53" i="5"/>
  <c r="Q53" i="5"/>
  <c r="P53" i="5"/>
  <c r="O53" i="5"/>
  <c r="N53" i="5"/>
  <c r="M53" i="5"/>
  <c r="L53" i="5"/>
  <c r="K53" i="5"/>
  <c r="J53" i="5"/>
  <c r="I53" i="5"/>
  <c r="H53" i="5"/>
  <c r="I96" i="5" l="1"/>
  <c r="T96" i="5"/>
  <c r="N96" i="5"/>
  <c r="S96" i="5"/>
  <c r="M96" i="5"/>
  <c r="AE29" i="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AE85" i="1" s="1"/>
  <c r="AE86" i="1" s="1"/>
  <c r="AE87" i="1" s="1"/>
  <c r="AE88" i="1" s="1"/>
  <c r="AE89" i="1" s="1"/>
  <c r="AE90" i="1" s="1"/>
  <c r="AE91" i="1" s="1"/>
  <c r="AE92" i="1" s="1"/>
  <c r="AE93" i="1" s="1"/>
  <c r="AE94" i="1" s="1"/>
  <c r="AE95" i="1" s="1"/>
  <c r="AE96" i="1" s="1"/>
  <c r="AE97" i="1" s="1"/>
  <c r="AE98" i="1" s="1"/>
  <c r="AE99" i="1" s="1"/>
  <c r="AE100" i="1" s="1"/>
  <c r="AE101" i="1" s="1"/>
  <c r="AE102" i="1" s="1"/>
  <c r="AE103" i="1" s="1"/>
  <c r="AE104" i="1" s="1"/>
  <c r="AE105" i="1" s="1"/>
  <c r="AE106" i="1" s="1"/>
  <c r="AE107" i="1" s="1"/>
  <c r="AE108" i="1" s="1"/>
  <c r="AE109" i="1" s="1"/>
  <c r="AE110" i="1" s="1"/>
  <c r="AE111" i="1" s="1"/>
  <c r="AE112" i="1" s="1"/>
  <c r="AE113" i="1" s="1"/>
  <c r="AE114" i="1" s="1"/>
  <c r="AE115" i="1" s="1"/>
  <c r="AE116" i="1" s="1"/>
  <c r="AE117" i="1" s="1"/>
  <c r="AE118" i="1" s="1"/>
  <c r="AE119" i="1" s="1"/>
  <c r="AE120" i="1" s="1"/>
  <c r="AE121" i="1" s="1"/>
  <c r="AE122" i="1" s="1"/>
  <c r="AE123" i="1" s="1"/>
  <c r="AE124" i="1" s="1"/>
  <c r="AE125" i="1" s="1"/>
  <c r="AE126" i="1" s="1"/>
  <c r="AE127" i="1" s="1"/>
  <c r="AE128" i="1" s="1"/>
  <c r="AE129" i="1" s="1"/>
  <c r="AE130" i="1" s="1"/>
  <c r="AE131" i="1" s="1"/>
  <c r="AE132" i="1" s="1"/>
  <c r="AE133" i="1" s="1"/>
  <c r="AE134" i="1" s="1"/>
  <c r="AE135" i="1" s="1"/>
  <c r="AE136" i="1" s="1"/>
  <c r="AE137" i="1" s="1"/>
  <c r="AE138" i="1" s="1"/>
  <c r="AE139" i="1" s="1"/>
  <c r="AE140" i="1" s="1"/>
  <c r="AE141" i="1" s="1"/>
  <c r="AE142" i="1" s="1"/>
  <c r="AE143" i="1" s="1"/>
  <c r="AE144" i="1" s="1"/>
  <c r="AE145" i="1" s="1"/>
  <c r="AE146" i="1" s="1"/>
  <c r="AE147" i="1" s="1"/>
  <c r="AE148" i="1" s="1"/>
  <c r="AE149" i="1" s="1"/>
  <c r="AE150" i="1" s="1"/>
  <c r="AE151" i="1" s="1"/>
  <c r="AE152" i="1" s="1"/>
  <c r="AE153" i="1" s="1"/>
  <c r="AE154" i="1" s="1"/>
  <c r="AE155" i="1" s="1"/>
  <c r="AE156" i="1" s="1"/>
  <c r="AE157" i="1" s="1"/>
  <c r="AE158" i="1" s="1"/>
  <c r="AE159" i="1" s="1"/>
  <c r="AE160" i="1" s="1"/>
  <c r="AE161" i="1" s="1"/>
  <c r="AE162" i="1" s="1"/>
  <c r="AE163" i="1" s="1"/>
  <c r="AE164" i="1" s="1"/>
  <c r="AE165" i="1" s="1"/>
  <c r="AE166" i="1" s="1"/>
  <c r="AE167" i="1" s="1"/>
  <c r="AE168" i="1" s="1"/>
  <c r="AE169" i="1" s="1"/>
  <c r="AE170" i="1" s="1"/>
  <c r="AE171" i="1" s="1"/>
  <c r="AE172" i="1" s="1"/>
  <c r="AE173" i="1" s="1"/>
  <c r="AE174" i="1" s="1"/>
  <c r="AE175" i="1" s="1"/>
  <c r="AE176" i="1" s="1"/>
  <c r="AE177" i="1" s="1"/>
  <c r="AE178" i="1" s="1"/>
  <c r="AE179" i="1" s="1"/>
  <c r="AE180" i="1" s="1"/>
  <c r="AE181" i="1" s="1"/>
  <c r="AE182" i="1" s="1"/>
  <c r="AE183" i="1" s="1"/>
  <c r="AE184" i="1" s="1"/>
  <c r="AE185" i="1" s="1"/>
  <c r="AE186" i="1" s="1"/>
  <c r="AE187" i="1" s="1"/>
  <c r="AE188" i="1" s="1"/>
  <c r="AE189" i="1" s="1"/>
  <c r="AE190" i="1" s="1"/>
  <c r="AE191" i="1" s="1"/>
  <c r="AE192" i="1" s="1"/>
  <c r="AE193" i="1" s="1"/>
  <c r="AE194" i="1" s="1"/>
  <c r="AE195" i="1" s="1"/>
  <c r="AE196" i="1" s="1"/>
  <c r="AE197" i="1" s="1"/>
  <c r="AE198" i="1" s="1"/>
  <c r="AE199" i="1" s="1"/>
  <c r="AE200" i="1" s="1"/>
  <c r="AE201" i="1" s="1"/>
  <c r="AE202" i="1" s="1"/>
  <c r="AE203" i="1" s="1"/>
  <c r="AE204" i="1" s="1"/>
  <c r="AE205" i="1" s="1"/>
  <c r="AE206" i="1" s="1"/>
  <c r="AE207" i="1" s="1"/>
  <c r="AE208" i="1" s="1"/>
  <c r="AE209" i="1" s="1"/>
  <c r="AE210" i="1" s="1"/>
  <c r="AE211" i="1" s="1"/>
  <c r="AE212" i="1" s="1"/>
  <c r="AE213" i="1" s="1"/>
  <c r="AE214" i="1" s="1"/>
  <c r="AE215" i="1" s="1"/>
  <c r="AE216" i="1" s="1"/>
  <c r="AE217" i="1" s="1"/>
  <c r="AE218" i="1" s="1"/>
  <c r="AE219" i="1" s="1"/>
  <c r="AE220" i="1" s="1"/>
  <c r="AE221" i="1" s="1"/>
  <c r="AE222" i="1" s="1"/>
  <c r="AE223" i="1" s="1"/>
  <c r="AE224" i="1" s="1"/>
  <c r="AE225" i="1" s="1"/>
  <c r="AE226" i="1" s="1"/>
  <c r="AE227" i="1" s="1"/>
  <c r="AE228" i="1" s="1"/>
  <c r="AE229" i="1" s="1"/>
  <c r="AE230" i="1" s="1"/>
  <c r="AE231" i="1" s="1"/>
  <c r="AE232" i="1" s="1"/>
  <c r="AE233" i="1" s="1"/>
  <c r="AE234" i="1" s="1"/>
  <c r="AE235" i="1" s="1"/>
  <c r="AE236" i="1" s="1"/>
  <c r="AE237" i="1" s="1"/>
  <c r="AE238" i="1" s="1"/>
  <c r="AE239" i="1" s="1"/>
  <c r="AE240" i="1" s="1"/>
  <c r="AE241" i="1" s="1"/>
  <c r="AE242" i="1" s="1"/>
  <c r="AE243" i="1" s="1"/>
  <c r="AE244" i="1" s="1"/>
  <c r="AE245" i="1" s="1"/>
  <c r="AE246" i="1" s="1"/>
  <c r="AE247" i="1" s="1"/>
  <c r="AE248" i="1" s="1"/>
  <c r="AE249" i="1" s="1"/>
  <c r="AE250" i="1" s="1"/>
  <c r="AE251" i="1" s="1"/>
  <c r="AE252" i="1" s="1"/>
  <c r="AE253" i="1" s="1"/>
  <c r="AE254" i="1" s="1"/>
  <c r="AE255" i="1" s="1"/>
  <c r="AE256" i="1" s="1"/>
  <c r="AE257" i="1" s="1"/>
  <c r="E67" i="1"/>
  <c r="E54" i="1"/>
  <c r="AB34" i="1"/>
  <c r="X67" i="5" l="1"/>
  <c r="X66" i="5"/>
  <c r="X65" i="5"/>
  <c r="X64" i="5"/>
  <c r="X63" i="5"/>
  <c r="X59" i="5"/>
  <c r="X58" i="5"/>
  <c r="X57" i="5"/>
  <c r="X56" i="5"/>
  <c r="V56" i="5" s="1"/>
  <c r="X55" i="5"/>
  <c r="V55" i="5" s="1"/>
  <c r="X52" i="5"/>
  <c r="X51" i="5"/>
  <c r="X47" i="5"/>
  <c r="X46" i="5"/>
  <c r="X45" i="5"/>
  <c r="V45" i="5" s="1"/>
  <c r="X44" i="5"/>
  <c r="V44" i="5" s="1"/>
  <c r="X39" i="5"/>
  <c r="X38" i="5"/>
  <c r="X37" i="5"/>
  <c r="X36" i="5"/>
  <c r="X35" i="5"/>
  <c r="X32" i="5"/>
  <c r="W32" i="5" s="1"/>
  <c r="X31" i="5"/>
  <c r="X30" i="5"/>
  <c r="X29" i="5"/>
  <c r="X28" i="5"/>
  <c r="V28" i="5" s="1"/>
  <c r="X27" i="5"/>
  <c r="V27" i="5" s="1"/>
  <c r="X24" i="5"/>
  <c r="X23" i="5"/>
  <c r="X19" i="5"/>
  <c r="X18" i="5"/>
  <c r="X17" i="5"/>
  <c r="V17" i="5" s="1"/>
  <c r="X16" i="5"/>
  <c r="V16" i="5" s="1"/>
  <c r="V29" i="5" l="1"/>
  <c r="W29" i="5" s="1"/>
  <c r="X68" i="5"/>
  <c r="X53" i="5"/>
  <c r="X61" i="5"/>
  <c r="X33" i="5"/>
  <c r="X25" i="5"/>
  <c r="X69" i="5" l="1"/>
  <c r="N40" i="5"/>
  <c r="M40" i="5"/>
  <c r="N25" i="5"/>
  <c r="B42" i="1"/>
  <c r="C42" i="1" s="1"/>
  <c r="B49" i="1"/>
  <c r="C49" i="1" s="1"/>
  <c r="B32" i="1"/>
  <c r="C32" i="1" s="1"/>
  <c r="B31" i="1"/>
  <c r="C31" i="1" s="1"/>
  <c r="B30" i="1"/>
  <c r="C30" i="1" s="1"/>
  <c r="B29" i="1"/>
  <c r="C29" i="1" s="1"/>
  <c r="B28" i="1"/>
  <c r="C28" i="1" s="1"/>
  <c r="B27" i="1"/>
  <c r="C27" i="1" s="1"/>
  <c r="B26" i="1"/>
  <c r="C26" i="1" s="1"/>
  <c r="B25" i="1"/>
  <c r="C25" i="1" s="1"/>
  <c r="B24" i="1"/>
  <c r="C24" i="1" s="1"/>
  <c r="B23" i="1"/>
  <c r="C23" i="1" s="1"/>
  <c r="D67" i="1"/>
  <c r="D66" i="1" s="1"/>
  <c r="B33" i="1"/>
  <c r="C33" i="1" s="1"/>
  <c r="C34" i="1"/>
  <c r="B34" i="1"/>
  <c r="M25" i="5"/>
  <c r="M33" i="5"/>
  <c r="N33" i="5"/>
  <c r="U115" i="5"/>
  <c r="T115" i="5"/>
  <c r="S115" i="5"/>
  <c r="R115" i="5"/>
  <c r="Q115" i="5"/>
  <c r="P115" i="5"/>
  <c r="O115" i="5"/>
  <c r="N115" i="5"/>
  <c r="M115" i="5"/>
  <c r="L115" i="5"/>
  <c r="K115" i="5"/>
  <c r="J115" i="5"/>
  <c r="I115" i="5"/>
  <c r="U114" i="5"/>
  <c r="T114" i="5"/>
  <c r="S114" i="5"/>
  <c r="R114" i="5"/>
  <c r="Q114" i="5"/>
  <c r="P114" i="5"/>
  <c r="O114" i="5"/>
  <c r="N114" i="5"/>
  <c r="M114" i="5"/>
  <c r="L114" i="5"/>
  <c r="K114" i="5"/>
  <c r="J114" i="5"/>
  <c r="I114" i="5"/>
  <c r="U112" i="5"/>
  <c r="T112" i="5"/>
  <c r="S112" i="5"/>
  <c r="R112" i="5"/>
  <c r="Q112" i="5"/>
  <c r="P112" i="5"/>
  <c r="O112" i="5"/>
  <c r="N112" i="5"/>
  <c r="M112" i="5"/>
  <c r="L112" i="5"/>
  <c r="K112" i="5"/>
  <c r="J112" i="5"/>
  <c r="I112" i="5"/>
  <c r="U110" i="5"/>
  <c r="T110" i="5"/>
  <c r="S110" i="5"/>
  <c r="R110" i="5"/>
  <c r="Q110" i="5"/>
  <c r="P110" i="5"/>
  <c r="O110" i="5"/>
  <c r="N110" i="5"/>
  <c r="M110" i="5"/>
  <c r="L110" i="5"/>
  <c r="K110" i="5"/>
  <c r="J110" i="5"/>
  <c r="I110" i="5"/>
  <c r="U108" i="5"/>
  <c r="T108" i="5"/>
  <c r="S108" i="5"/>
  <c r="R108" i="5"/>
  <c r="Q108" i="5"/>
  <c r="P108" i="5"/>
  <c r="O108" i="5"/>
  <c r="N108" i="5"/>
  <c r="M108" i="5"/>
  <c r="L108" i="5"/>
  <c r="K108" i="5"/>
  <c r="J108" i="5"/>
  <c r="I108" i="5"/>
  <c r="U107" i="5"/>
  <c r="T107" i="5"/>
  <c r="S107" i="5"/>
  <c r="R107" i="5"/>
  <c r="Q107" i="5"/>
  <c r="P107" i="5"/>
  <c r="O107" i="5"/>
  <c r="N107" i="5"/>
  <c r="M107" i="5"/>
  <c r="L107" i="5"/>
  <c r="K107" i="5"/>
  <c r="J107" i="5"/>
  <c r="I107" i="5"/>
  <c r="U105" i="5"/>
  <c r="T105" i="5"/>
  <c r="S105" i="5"/>
  <c r="R105" i="5"/>
  <c r="Q105" i="5"/>
  <c r="P105" i="5"/>
  <c r="O105" i="5"/>
  <c r="N105" i="5"/>
  <c r="M105" i="5"/>
  <c r="L105" i="5"/>
  <c r="K105" i="5"/>
  <c r="J105" i="5"/>
  <c r="I105" i="5"/>
  <c r="U104" i="5"/>
  <c r="T104" i="5"/>
  <c r="S104" i="5"/>
  <c r="R104" i="5"/>
  <c r="Q104" i="5"/>
  <c r="P104" i="5"/>
  <c r="O104" i="5"/>
  <c r="N104" i="5"/>
  <c r="M104" i="5"/>
  <c r="L104" i="5"/>
  <c r="K104" i="5"/>
  <c r="J104" i="5"/>
  <c r="I104" i="5"/>
  <c r="V149" i="5"/>
  <c r="V153" i="5"/>
  <c r="V152" i="5"/>
  <c r="V144" i="5"/>
  <c r="H155" i="5"/>
  <c r="H154" i="5"/>
  <c r="H151" i="5"/>
  <c r="H150" i="5"/>
  <c r="H145" i="5"/>
  <c r="V155" i="5"/>
  <c r="V154" i="5"/>
  <c r="V151" i="5"/>
  <c r="V150" i="5"/>
  <c r="V145" i="5"/>
  <c r="U33" i="5"/>
  <c r="T33" i="5"/>
  <c r="S33" i="5"/>
  <c r="R33" i="5"/>
  <c r="Q33" i="5"/>
  <c r="P33" i="5"/>
  <c r="O33" i="5"/>
  <c r="L33" i="5"/>
  <c r="K33" i="5"/>
  <c r="J33" i="5"/>
  <c r="I33" i="5"/>
  <c r="U68" i="5"/>
  <c r="T68" i="5"/>
  <c r="S68" i="5"/>
  <c r="R68" i="5"/>
  <c r="Q68" i="5"/>
  <c r="P68" i="5"/>
  <c r="O68" i="5"/>
  <c r="N68" i="5"/>
  <c r="M68" i="5"/>
  <c r="L68" i="5"/>
  <c r="K68" i="5"/>
  <c r="J68" i="5"/>
  <c r="I68" i="5"/>
  <c r="U61" i="5"/>
  <c r="T61" i="5"/>
  <c r="S61" i="5"/>
  <c r="R61" i="5"/>
  <c r="Q61" i="5"/>
  <c r="P61" i="5"/>
  <c r="O61" i="5"/>
  <c r="N61" i="5"/>
  <c r="M61" i="5"/>
  <c r="L61" i="5"/>
  <c r="K61" i="5"/>
  <c r="J61" i="5"/>
  <c r="I61" i="5"/>
  <c r="V163" i="5"/>
  <c r="M69" i="5" l="1"/>
  <c r="S69" i="5"/>
  <c r="P69" i="5"/>
  <c r="N69" i="5"/>
  <c r="T69" i="5"/>
  <c r="R69" i="5"/>
  <c r="O69" i="5"/>
  <c r="U69" i="5"/>
  <c r="L69" i="5"/>
  <c r="M7" i="5"/>
  <c r="J69" i="5"/>
  <c r="K69" i="5"/>
  <c r="N7" i="5"/>
  <c r="Q69" i="5"/>
  <c r="B43" i="1"/>
  <c r="C43" i="1" s="1"/>
  <c r="B45" i="1"/>
  <c r="C45" i="1" s="1"/>
  <c r="B39" i="1"/>
  <c r="C39" i="1" s="1"/>
  <c r="B46" i="1"/>
  <c r="C46" i="1" s="1"/>
  <c r="B40" i="1"/>
  <c r="C40" i="1" s="1"/>
  <c r="B47" i="1"/>
  <c r="C47" i="1" s="1"/>
  <c r="C50" i="1"/>
  <c r="B41" i="1"/>
  <c r="C41" i="1" s="1"/>
  <c r="B48" i="1"/>
  <c r="C48" i="1" s="1"/>
  <c r="N106" i="5"/>
  <c r="N109" i="5"/>
  <c r="N111" i="5"/>
  <c r="M41" i="5"/>
  <c r="M106" i="5"/>
  <c r="M109" i="5"/>
  <c r="N41" i="5"/>
  <c r="B44" i="1"/>
  <c r="C44" i="1" s="1"/>
  <c r="B50" i="1"/>
  <c r="M111" i="5"/>
  <c r="I69" i="5"/>
  <c r="M113" i="5"/>
  <c r="N113" i="5"/>
  <c r="N136" i="5" s="1"/>
  <c r="M70" i="5" l="1"/>
  <c r="N70" i="5"/>
  <c r="M136" i="5"/>
  <c r="N116" i="5"/>
  <c r="M116" i="5"/>
  <c r="W24" i="5" l="1"/>
  <c r="V20" i="5"/>
  <c r="H61" i="5"/>
  <c r="H33" i="5"/>
  <c r="U40" i="5"/>
  <c r="T40" i="5"/>
  <c r="S40" i="5"/>
  <c r="R40" i="5"/>
  <c r="Q40" i="5"/>
  <c r="P40" i="5"/>
  <c r="O40" i="5"/>
  <c r="L40" i="5"/>
  <c r="K40" i="5"/>
  <c r="J40" i="5"/>
  <c r="B82" i="1"/>
  <c r="C82" i="1" s="1"/>
  <c r="B66" i="1"/>
  <c r="V162" i="5"/>
  <c r="U25" i="5"/>
  <c r="T25" i="5"/>
  <c r="S25" i="5"/>
  <c r="R25" i="5"/>
  <c r="Q25" i="5"/>
  <c r="P25" i="5"/>
  <c r="O25" i="5"/>
  <c r="N184" i="5"/>
  <c r="M184" i="5"/>
  <c r="L25" i="5"/>
  <c r="L7" i="5" s="1"/>
  <c r="K25" i="5"/>
  <c r="K7" i="5" s="1"/>
  <c r="J25" i="5"/>
  <c r="J7" i="5" s="1"/>
  <c r="I25" i="5"/>
  <c r="I7" i="5" s="1"/>
  <c r="H25" i="5"/>
  <c r="AI7" i="1"/>
  <c r="AI8" i="1" s="1"/>
  <c r="AI9" i="1" s="1"/>
  <c r="T1" i="5"/>
  <c r="S1" i="5"/>
  <c r="R1" i="5"/>
  <c r="Q1" i="5"/>
  <c r="P1" i="5"/>
  <c r="O1" i="5"/>
  <c r="N1" i="5"/>
  <c r="M1" i="5"/>
  <c r="L1" i="5"/>
  <c r="K1" i="5"/>
  <c r="J1" i="5"/>
  <c r="I1" i="5"/>
  <c r="H1" i="5"/>
  <c r="U1" i="5"/>
  <c r="B61" i="1"/>
  <c r="U182" i="5"/>
  <c r="T182" i="5"/>
  <c r="S182" i="5"/>
  <c r="R182" i="5"/>
  <c r="Q182" i="5"/>
  <c r="P182" i="5"/>
  <c r="O182" i="5"/>
  <c r="N182" i="5"/>
  <c r="M182" i="5"/>
  <c r="L182" i="5"/>
  <c r="I182" i="5"/>
  <c r="D10" i="1"/>
  <c r="D7" i="1"/>
  <c r="E7" i="1" s="1"/>
  <c r="D9" i="1"/>
  <c r="A10" i="1"/>
  <c r="A12" i="1"/>
  <c r="A13" i="1"/>
  <c r="A14" i="1"/>
  <c r="AG13" i="1"/>
  <c r="AD13" i="1" s="1"/>
  <c r="AA13" i="1" s="1"/>
  <c r="X13" i="1" s="1"/>
  <c r="U13" i="1" s="1"/>
  <c r="R13" i="1" s="1"/>
  <c r="O13" i="1" s="1"/>
  <c r="L13" i="1" s="1"/>
  <c r="I13" i="1" s="1"/>
  <c r="F13" i="1" s="1"/>
  <c r="C13" i="1" s="1"/>
  <c r="A9" i="1"/>
  <c r="A7" i="1"/>
  <c r="B7" i="1" s="1"/>
  <c r="A8" i="1"/>
  <c r="AG7" i="1"/>
  <c r="AD7" i="1" s="1"/>
  <c r="AA7" i="1" s="1"/>
  <c r="X7" i="1" s="1"/>
  <c r="U7" i="1" s="1"/>
  <c r="R7" i="1" s="1"/>
  <c r="O7" i="1" s="1"/>
  <c r="L7" i="1" s="1"/>
  <c r="I7" i="1" s="1"/>
  <c r="F7" i="1" s="1"/>
  <c r="C7" i="1" s="1"/>
  <c r="AG8" i="1"/>
  <c r="AD8" i="1" s="1"/>
  <c r="AA8" i="1" s="1"/>
  <c r="X8" i="1" s="1"/>
  <c r="U8" i="1" s="1"/>
  <c r="R8" i="1" s="1"/>
  <c r="O8" i="1" s="1"/>
  <c r="L8" i="1" s="1"/>
  <c r="I8" i="1" s="1"/>
  <c r="F8" i="1" s="1"/>
  <c r="C8" i="1" s="1"/>
  <c r="AG9" i="1"/>
  <c r="AD9" i="1" s="1"/>
  <c r="AA9" i="1" s="1"/>
  <c r="X9" i="1" s="1"/>
  <c r="U9" i="1" s="1"/>
  <c r="R9" i="1" s="1"/>
  <c r="O9" i="1" s="1"/>
  <c r="L9" i="1" s="1"/>
  <c r="I9" i="1" s="1"/>
  <c r="F9" i="1" s="1"/>
  <c r="C9" i="1" s="1"/>
  <c r="A11" i="1"/>
  <c r="AG10" i="1"/>
  <c r="AD10" i="1" s="1"/>
  <c r="AA10" i="1" s="1"/>
  <c r="X10" i="1" s="1"/>
  <c r="U10" i="1" s="1"/>
  <c r="R10" i="1" s="1"/>
  <c r="O10" i="1" s="1"/>
  <c r="L10" i="1" s="1"/>
  <c r="I10" i="1" s="1"/>
  <c r="F10" i="1" s="1"/>
  <c r="C10" i="1" s="1"/>
  <c r="AG11" i="1"/>
  <c r="AD11" i="1" s="1"/>
  <c r="AA11" i="1" s="1"/>
  <c r="X11" i="1" s="1"/>
  <c r="U11" i="1" s="1"/>
  <c r="R11" i="1" s="1"/>
  <c r="O11" i="1" s="1"/>
  <c r="L11" i="1" s="1"/>
  <c r="I11" i="1" s="1"/>
  <c r="F11" i="1" s="1"/>
  <c r="C11" i="1" s="1"/>
  <c r="AG12" i="1"/>
  <c r="AD12" i="1" s="1"/>
  <c r="AA12" i="1" s="1"/>
  <c r="X12" i="1" s="1"/>
  <c r="U12" i="1" s="1"/>
  <c r="R12" i="1" s="1"/>
  <c r="O12" i="1" s="1"/>
  <c r="L12" i="1" s="1"/>
  <c r="I12" i="1" s="1"/>
  <c r="F12" i="1" s="1"/>
  <c r="C12" i="1" s="1"/>
  <c r="AE7" i="1"/>
  <c r="AF7" i="1" s="1"/>
  <c r="AE8" i="1"/>
  <c r="AE9" i="1"/>
  <c r="AE10" i="1"/>
  <c r="AE11" i="1"/>
  <c r="AE12" i="1"/>
  <c r="AE13" i="1"/>
  <c r="AE14" i="1"/>
  <c r="AB7" i="1"/>
  <c r="AC7" i="1" s="1"/>
  <c r="AB8" i="1"/>
  <c r="AB9" i="1"/>
  <c r="AB10" i="1"/>
  <c r="AB11" i="1"/>
  <c r="AB12" i="1"/>
  <c r="AB13" i="1"/>
  <c r="AB14" i="1"/>
  <c r="Y7" i="1"/>
  <c r="Z7" i="1" s="1"/>
  <c r="Y8" i="1"/>
  <c r="Y9" i="1"/>
  <c r="Y10" i="1"/>
  <c r="Y11" i="1"/>
  <c r="Y12" i="1"/>
  <c r="Y13" i="1"/>
  <c r="Y14" i="1"/>
  <c r="V7" i="1"/>
  <c r="W7" i="1" s="1"/>
  <c r="V8" i="1"/>
  <c r="V9" i="1"/>
  <c r="V10" i="1"/>
  <c r="V11" i="1"/>
  <c r="V12" i="1"/>
  <c r="V13" i="1"/>
  <c r="V14" i="1"/>
  <c r="S7" i="1"/>
  <c r="T7" i="1" s="1"/>
  <c r="S8" i="1"/>
  <c r="S9" i="1"/>
  <c r="S10" i="1"/>
  <c r="S11" i="1"/>
  <c r="S12" i="1"/>
  <c r="S13" i="1"/>
  <c r="S14" i="1"/>
  <c r="P7" i="1"/>
  <c r="Q7" i="1" s="1"/>
  <c r="P8" i="1"/>
  <c r="P9" i="1"/>
  <c r="P10" i="1"/>
  <c r="P11" i="1"/>
  <c r="P12" i="1"/>
  <c r="P13" i="1"/>
  <c r="P14" i="1"/>
  <c r="M7" i="1"/>
  <c r="N7" i="1" s="1"/>
  <c r="M8" i="1"/>
  <c r="M9" i="1"/>
  <c r="M10" i="1"/>
  <c r="M11" i="1"/>
  <c r="M12" i="1"/>
  <c r="M13" i="1"/>
  <c r="M14" i="1"/>
  <c r="J7" i="1"/>
  <c r="J8" i="1"/>
  <c r="J9" i="1"/>
  <c r="J10" i="1"/>
  <c r="J11" i="1"/>
  <c r="J12" i="1"/>
  <c r="J13" i="1"/>
  <c r="J14" i="1"/>
  <c r="G7" i="1"/>
  <c r="G8" i="1"/>
  <c r="G9" i="1"/>
  <c r="G10" i="1"/>
  <c r="G11" i="1"/>
  <c r="G12" i="1"/>
  <c r="G13" i="1"/>
  <c r="G14" i="1"/>
  <c r="D8" i="1"/>
  <c r="D11" i="1"/>
  <c r="D12" i="1"/>
  <c r="D13" i="1"/>
  <c r="D14" i="1"/>
  <c r="AG14" i="1"/>
  <c r="AD14" i="1" s="1"/>
  <c r="AA14" i="1" s="1"/>
  <c r="X14" i="1" s="1"/>
  <c r="J182" i="5"/>
  <c r="K182" i="5"/>
  <c r="B75" i="1"/>
  <c r="D62" i="1"/>
  <c r="U4" i="5"/>
  <c r="T4" i="5"/>
  <c r="S4" i="5"/>
  <c r="R4" i="5"/>
  <c r="Q4" i="5"/>
  <c r="P4" i="5"/>
  <c r="O4" i="5"/>
  <c r="N4" i="5"/>
  <c r="M4" i="5"/>
  <c r="L4" i="5"/>
  <c r="K4" i="5"/>
  <c r="J4" i="5"/>
  <c r="I4" i="5"/>
  <c r="H4" i="5"/>
  <c r="V182" i="5"/>
  <c r="D70" i="1"/>
  <c r="C70" i="1"/>
  <c r="E70" i="1" s="1"/>
  <c r="D164" i="5"/>
  <c r="D165" i="5"/>
  <c r="B62" i="1"/>
  <c r="B58" i="1"/>
  <c r="B55" i="1"/>
  <c r="B71" i="1"/>
  <c r="B73" i="1"/>
  <c r="B80" i="1"/>
  <c r="B76" i="1"/>
  <c r="B78" i="1"/>
  <c r="B74" i="1"/>
  <c r="B56" i="1"/>
  <c r="D57" i="1"/>
  <c r="B63" i="1"/>
  <c r="B65" i="1"/>
  <c r="B77" i="1"/>
  <c r="B72" i="1"/>
  <c r="B79" i="1"/>
  <c r="D60" i="1"/>
  <c r="D56" i="1"/>
  <c r="B57" i="1"/>
  <c r="B64" i="1"/>
  <c r="B81" i="1"/>
  <c r="O163" i="5" l="1"/>
  <c r="O207" i="5"/>
  <c r="O201" i="5"/>
  <c r="O208" i="5"/>
  <c r="O205" i="5"/>
  <c r="O202" i="5"/>
  <c r="O199" i="5"/>
  <c r="O204" i="5"/>
  <c r="O198" i="5"/>
  <c r="O203" i="5"/>
  <c r="O200" i="5"/>
  <c r="O206" i="5"/>
  <c r="O197" i="5"/>
  <c r="P201" i="5"/>
  <c r="P206" i="5"/>
  <c r="P203" i="5"/>
  <c r="P197" i="5"/>
  <c r="P207" i="5"/>
  <c r="P204" i="5"/>
  <c r="P198" i="5"/>
  <c r="P200" i="5"/>
  <c r="P208" i="5"/>
  <c r="P199" i="5"/>
  <c r="P205" i="5"/>
  <c r="P202" i="5"/>
  <c r="K206" i="5"/>
  <c r="K203" i="5"/>
  <c r="K197" i="5"/>
  <c r="K207" i="5"/>
  <c r="K204" i="5"/>
  <c r="K201" i="5"/>
  <c r="K198" i="5"/>
  <c r="K200" i="5"/>
  <c r="K202" i="5"/>
  <c r="K208" i="5"/>
  <c r="K199" i="5"/>
  <c r="K205" i="5"/>
  <c r="Q200" i="5"/>
  <c r="Q207" i="5"/>
  <c r="Q204" i="5"/>
  <c r="Q201" i="5"/>
  <c r="Q198" i="5"/>
  <c r="Q206" i="5"/>
  <c r="Q203" i="5"/>
  <c r="Q197" i="5"/>
  <c r="Q208" i="5"/>
  <c r="Q199" i="5"/>
  <c r="Q205" i="5"/>
  <c r="Q202" i="5"/>
  <c r="U163" i="5"/>
  <c r="U198" i="5"/>
  <c r="U208" i="5"/>
  <c r="U205" i="5"/>
  <c r="U202" i="5"/>
  <c r="U199" i="5"/>
  <c r="U207" i="5"/>
  <c r="U204" i="5"/>
  <c r="U201" i="5"/>
  <c r="U200" i="5"/>
  <c r="U206" i="5"/>
  <c r="U197" i="5"/>
  <c r="U203" i="5"/>
  <c r="M205" i="5"/>
  <c r="M202" i="5"/>
  <c r="M206" i="5"/>
  <c r="M203" i="5"/>
  <c r="M200" i="5"/>
  <c r="M197" i="5"/>
  <c r="M208" i="5"/>
  <c r="M199" i="5"/>
  <c r="M207" i="5"/>
  <c r="M198" i="5"/>
  <c r="M204" i="5"/>
  <c r="M201" i="5"/>
  <c r="H208" i="5"/>
  <c r="H199" i="5"/>
  <c r="H201" i="5"/>
  <c r="H205" i="5"/>
  <c r="H202" i="5"/>
  <c r="H207" i="5"/>
  <c r="H204" i="5"/>
  <c r="H198" i="5"/>
  <c r="H206" i="5"/>
  <c r="H197" i="5"/>
  <c r="H203" i="5"/>
  <c r="H200" i="5"/>
  <c r="H144" i="5"/>
  <c r="N205" i="5"/>
  <c r="N207" i="5"/>
  <c r="N204" i="5"/>
  <c r="N198" i="5"/>
  <c r="N208" i="5"/>
  <c r="N202" i="5"/>
  <c r="N199" i="5"/>
  <c r="N201" i="5"/>
  <c r="N197" i="5"/>
  <c r="N203" i="5"/>
  <c r="N200" i="5"/>
  <c r="N206" i="5"/>
  <c r="I204" i="5"/>
  <c r="I198" i="5"/>
  <c r="I208" i="5"/>
  <c r="I205" i="5"/>
  <c r="I202" i="5"/>
  <c r="I199" i="5"/>
  <c r="I207" i="5"/>
  <c r="I201" i="5"/>
  <c r="I206" i="5"/>
  <c r="I197" i="5"/>
  <c r="I203" i="5"/>
  <c r="I200" i="5"/>
  <c r="J200" i="5"/>
  <c r="J207" i="5"/>
  <c r="J204" i="5"/>
  <c r="J201" i="5"/>
  <c r="J198" i="5"/>
  <c r="J206" i="5"/>
  <c r="J203" i="5"/>
  <c r="J197" i="5"/>
  <c r="J202" i="5"/>
  <c r="J208" i="5"/>
  <c r="J199" i="5"/>
  <c r="J205" i="5"/>
  <c r="L200" i="5"/>
  <c r="L205" i="5"/>
  <c r="L199" i="5"/>
  <c r="L206" i="5"/>
  <c r="L203" i="5"/>
  <c r="L197" i="5"/>
  <c r="L208" i="5"/>
  <c r="L202" i="5"/>
  <c r="L207" i="5"/>
  <c r="L198" i="5"/>
  <c r="L204" i="5"/>
  <c r="L201" i="5"/>
  <c r="R206" i="5"/>
  <c r="R203" i="5"/>
  <c r="R197" i="5"/>
  <c r="R205" i="5"/>
  <c r="R202" i="5"/>
  <c r="R200" i="5"/>
  <c r="R208" i="5"/>
  <c r="R199" i="5"/>
  <c r="R204" i="5"/>
  <c r="R201" i="5"/>
  <c r="R207" i="5"/>
  <c r="R198" i="5"/>
  <c r="T162" i="5"/>
  <c r="T208" i="5"/>
  <c r="T202" i="5"/>
  <c r="T201" i="5"/>
  <c r="T205" i="5"/>
  <c r="T199" i="5"/>
  <c r="T207" i="5"/>
  <c r="T204" i="5"/>
  <c r="T198" i="5"/>
  <c r="T200" i="5"/>
  <c r="T206" i="5"/>
  <c r="T197" i="5"/>
  <c r="T203" i="5"/>
  <c r="S163" i="5"/>
  <c r="S199" i="5"/>
  <c r="S206" i="5"/>
  <c r="S203" i="5"/>
  <c r="S200" i="5"/>
  <c r="S197" i="5"/>
  <c r="S208" i="5"/>
  <c r="S205" i="5"/>
  <c r="S202" i="5"/>
  <c r="S204" i="5"/>
  <c r="S201" i="5"/>
  <c r="S207" i="5"/>
  <c r="S198" i="5"/>
  <c r="V98" i="5"/>
  <c r="V101" i="5"/>
  <c r="V92" i="5"/>
  <c r="S162" i="5"/>
  <c r="T163" i="5"/>
  <c r="Q163" i="5"/>
  <c r="Q162" i="5"/>
  <c r="R162" i="5"/>
  <c r="U162" i="5"/>
  <c r="R163" i="5"/>
  <c r="U117" i="5"/>
  <c r="Q117" i="5"/>
  <c r="L134" i="5"/>
  <c r="S117" i="5"/>
  <c r="T117" i="5"/>
  <c r="J134" i="5"/>
  <c r="I134" i="5"/>
  <c r="H134" i="5"/>
  <c r="J8" i="5"/>
  <c r="N8" i="5"/>
  <c r="M8" i="5"/>
  <c r="K8" i="5"/>
  <c r="L8" i="5"/>
  <c r="C83" i="1"/>
  <c r="E83" i="1" s="1"/>
  <c r="E82" i="1"/>
  <c r="P163" i="5"/>
  <c r="P162" i="5"/>
  <c r="O162" i="5"/>
  <c r="V9" i="5"/>
  <c r="V89" i="5" s="1"/>
  <c r="Q196" i="5"/>
  <c r="Q164" i="5" s="1"/>
  <c r="P184" i="5"/>
  <c r="P186" i="5" s="1"/>
  <c r="P7" i="5"/>
  <c r="P8" i="5" s="1"/>
  <c r="Q184" i="5"/>
  <c r="Q186" i="5" s="1"/>
  <c r="Q7" i="5"/>
  <c r="O196" i="5"/>
  <c r="O164" i="5" s="1"/>
  <c r="R184" i="5"/>
  <c r="R186" i="5" s="1"/>
  <c r="R7" i="5"/>
  <c r="S184" i="5"/>
  <c r="S186" i="5" s="1"/>
  <c r="S7" i="5"/>
  <c r="S196" i="5"/>
  <c r="S164" i="5" s="1"/>
  <c r="K163" i="5"/>
  <c r="K134" i="5"/>
  <c r="H7" i="5"/>
  <c r="H8" i="5" s="1"/>
  <c r="T184" i="5"/>
  <c r="T186" i="5" s="1"/>
  <c r="T7" i="5"/>
  <c r="O184" i="5"/>
  <c r="O186" i="5" s="1"/>
  <c r="O7" i="5"/>
  <c r="O8" i="5" s="1"/>
  <c r="U184" i="5"/>
  <c r="U186" i="5" s="1"/>
  <c r="U7" i="5"/>
  <c r="N134" i="5"/>
  <c r="N163" i="5"/>
  <c r="M134" i="5"/>
  <c r="D82" i="1"/>
  <c r="D83" i="1" s="1"/>
  <c r="D81" i="1" s="1"/>
  <c r="L184" i="5"/>
  <c r="L186" i="5" s="1"/>
  <c r="K184" i="5"/>
  <c r="K186" i="5" s="1"/>
  <c r="D79" i="1"/>
  <c r="D71" i="1"/>
  <c r="K196" i="5"/>
  <c r="K164" i="5" s="1"/>
  <c r="N8" i="1"/>
  <c r="AF8" i="1"/>
  <c r="AF9" i="1" s="1"/>
  <c r="AF10" i="1" s="1"/>
  <c r="AF11" i="1" s="1"/>
  <c r="AF12" i="1" s="1"/>
  <c r="AF13" i="1" s="1"/>
  <c r="AF14" i="1" s="1"/>
  <c r="Q8" i="1"/>
  <c r="Q9" i="1" s="1"/>
  <c r="Q10" i="1" s="1"/>
  <c r="Q11" i="1" s="1"/>
  <c r="Q12" i="1" s="1"/>
  <c r="Q13" i="1" s="1"/>
  <c r="Q14" i="1" s="1"/>
  <c r="C75" i="1"/>
  <c r="E75" i="1" s="1"/>
  <c r="C72" i="1"/>
  <c r="E72" i="1" s="1"/>
  <c r="C71" i="1"/>
  <c r="E71" i="1" s="1"/>
  <c r="C80" i="1"/>
  <c r="E80" i="1" s="1"/>
  <c r="C78" i="1"/>
  <c r="E78" i="1" s="1"/>
  <c r="C81" i="1"/>
  <c r="E81" i="1" s="1"/>
  <c r="C73" i="1"/>
  <c r="E73" i="1" s="1"/>
  <c r="C77" i="1"/>
  <c r="E77" i="1" s="1"/>
  <c r="C76" i="1"/>
  <c r="E76" i="1" s="1"/>
  <c r="C79" i="1"/>
  <c r="E79" i="1" s="1"/>
  <c r="C74" i="1"/>
  <c r="E74" i="1" s="1"/>
  <c r="D80" i="1"/>
  <c r="D74" i="1"/>
  <c r="D78" i="1"/>
  <c r="D77" i="1"/>
  <c r="M163" i="5"/>
  <c r="I163" i="5"/>
  <c r="H196" i="5"/>
  <c r="H164" i="5" s="1"/>
  <c r="T8" i="1"/>
  <c r="T9" i="1" s="1"/>
  <c r="T10" i="1" s="1"/>
  <c r="T11" i="1" s="1"/>
  <c r="T12" i="1" s="1"/>
  <c r="T13" i="1" s="1"/>
  <c r="T14" i="1" s="1"/>
  <c r="U196" i="5"/>
  <c r="U164" i="5" s="1"/>
  <c r="N9" i="1"/>
  <c r="N10" i="1" s="1"/>
  <c r="N11" i="1" s="1"/>
  <c r="N12" i="1" s="1"/>
  <c r="N13" i="1" s="1"/>
  <c r="N14" i="1" s="1"/>
  <c r="AI10" i="1"/>
  <c r="C66" i="1"/>
  <c r="E66" i="1" s="1"/>
  <c r="I117" i="5"/>
  <c r="B8" i="1"/>
  <c r="B9" i="1" s="1"/>
  <c r="B10" i="1" s="1"/>
  <c r="B11" i="1" s="1"/>
  <c r="B12" i="1" s="1"/>
  <c r="B13" i="1" s="1"/>
  <c r="B14" i="1" s="1"/>
  <c r="E8" i="1"/>
  <c r="E9" i="1" s="1"/>
  <c r="E10" i="1" s="1"/>
  <c r="E11" i="1" s="1"/>
  <c r="E12" i="1" s="1"/>
  <c r="E13" i="1" s="1"/>
  <c r="E14" i="1" s="1"/>
  <c r="M162" i="5"/>
  <c r="K162" i="5"/>
  <c r="K7" i="1"/>
  <c r="K8" i="1" s="1"/>
  <c r="K9" i="1" s="1"/>
  <c r="K10" i="1" s="1"/>
  <c r="K11" i="1" s="1"/>
  <c r="K12" i="1" s="1"/>
  <c r="K13" i="1" s="1"/>
  <c r="K14" i="1" s="1"/>
  <c r="H7" i="1"/>
  <c r="H8" i="1" s="1"/>
  <c r="H9" i="1" s="1"/>
  <c r="H10" i="1" s="1"/>
  <c r="H11" i="1" s="1"/>
  <c r="H12" i="1" s="1"/>
  <c r="H13" i="1" s="1"/>
  <c r="H14" i="1" s="1"/>
  <c r="T196" i="5"/>
  <c r="T164" i="5" s="1"/>
  <c r="K113" i="5"/>
  <c r="K136" i="5" s="1"/>
  <c r="K109" i="5"/>
  <c r="K111" i="5"/>
  <c r="K106" i="5"/>
  <c r="O113" i="5"/>
  <c r="O136" i="5" s="1"/>
  <c r="O109" i="5"/>
  <c r="O111" i="5"/>
  <c r="O106" i="5"/>
  <c r="Q113" i="5"/>
  <c r="Q136" i="5" s="1"/>
  <c r="Q109" i="5"/>
  <c r="Q111" i="5"/>
  <c r="Q106" i="5"/>
  <c r="S113" i="5"/>
  <c r="S136" i="5" s="1"/>
  <c r="S109" i="5"/>
  <c r="S111" i="5"/>
  <c r="S106" i="5"/>
  <c r="U113" i="5"/>
  <c r="U136" i="5" s="1"/>
  <c r="U109" i="5"/>
  <c r="U111" i="5"/>
  <c r="U106" i="5"/>
  <c r="L111" i="5"/>
  <c r="L106" i="5"/>
  <c r="L113" i="5"/>
  <c r="L136" i="5" s="1"/>
  <c r="L109" i="5"/>
  <c r="P111" i="5"/>
  <c r="P106" i="5"/>
  <c r="P113" i="5"/>
  <c r="P136" i="5" s="1"/>
  <c r="P109" i="5"/>
  <c r="R111" i="5"/>
  <c r="R106" i="5"/>
  <c r="R113" i="5"/>
  <c r="R136" i="5" s="1"/>
  <c r="R109" i="5"/>
  <c r="T111" i="5"/>
  <c r="T106" i="5"/>
  <c r="T113" i="5"/>
  <c r="T136" i="5" s="1"/>
  <c r="T109" i="5"/>
  <c r="J184" i="5"/>
  <c r="J186" i="5" s="1"/>
  <c r="J106" i="5"/>
  <c r="J109" i="5"/>
  <c r="J111" i="5"/>
  <c r="J113" i="5"/>
  <c r="J136" i="5" s="1"/>
  <c r="P196" i="5"/>
  <c r="P164" i="5" s="1"/>
  <c r="R196" i="5"/>
  <c r="R164" i="5" s="1"/>
  <c r="O117" i="5"/>
  <c r="N162" i="5"/>
  <c r="M117" i="5"/>
  <c r="M118" i="5" s="1"/>
  <c r="M130" i="5" s="1"/>
  <c r="L162" i="5"/>
  <c r="J162" i="5"/>
  <c r="H163" i="5"/>
  <c r="I162" i="5"/>
  <c r="L163" i="5"/>
  <c r="J163" i="5"/>
  <c r="I196" i="5"/>
  <c r="I164" i="5" s="1"/>
  <c r="H162" i="5"/>
  <c r="H94" i="5" s="1"/>
  <c r="H149" i="5"/>
  <c r="J196" i="5"/>
  <c r="J164" i="5" s="1"/>
  <c r="K117" i="5"/>
  <c r="H184" i="5"/>
  <c r="I184" i="5"/>
  <c r="P117" i="5"/>
  <c r="K41" i="5"/>
  <c r="K70" i="5" s="1"/>
  <c r="O41" i="5"/>
  <c r="O70" i="5" s="1"/>
  <c r="Q41" i="5"/>
  <c r="Q70" i="5" s="1"/>
  <c r="S41" i="5"/>
  <c r="S70" i="5" s="1"/>
  <c r="U41" i="5"/>
  <c r="U70" i="5" s="1"/>
  <c r="M186" i="5"/>
  <c r="J41" i="5"/>
  <c r="J70" i="5" s="1"/>
  <c r="L41" i="5"/>
  <c r="L70" i="5" s="1"/>
  <c r="P41" i="5"/>
  <c r="P70" i="5" s="1"/>
  <c r="R41" i="5"/>
  <c r="R70" i="5" s="1"/>
  <c r="T41" i="5"/>
  <c r="T70" i="5" s="1"/>
  <c r="N117" i="5"/>
  <c r="N118" i="5" s="1"/>
  <c r="N130" i="5" s="1"/>
  <c r="L117" i="5"/>
  <c r="J117" i="5"/>
  <c r="R117" i="5"/>
  <c r="N186" i="5"/>
  <c r="H68" i="5"/>
  <c r="AC8" i="1"/>
  <c r="AC9" i="1" s="1"/>
  <c r="AC10" i="1" s="1"/>
  <c r="AC11" i="1" s="1"/>
  <c r="AC12" i="1" s="1"/>
  <c r="AC13" i="1" s="1"/>
  <c r="AC14" i="1" s="1"/>
  <c r="W8" i="1"/>
  <c r="W9" i="1" s="1"/>
  <c r="W10" i="1" s="1"/>
  <c r="W11" i="1" s="1"/>
  <c r="W12" i="1" s="1"/>
  <c r="W13" i="1" s="1"/>
  <c r="W14" i="1" s="1"/>
  <c r="U14" i="1"/>
  <c r="D65" i="1"/>
  <c r="D61" i="1"/>
  <c r="D59" i="1"/>
  <c r="D58" i="1"/>
  <c r="D64" i="1"/>
  <c r="D63" i="1"/>
  <c r="Z8" i="1"/>
  <c r="Z9" i="1" s="1"/>
  <c r="Z10" i="1" s="1"/>
  <c r="Z11" i="1" s="1"/>
  <c r="Z12" i="1" s="1"/>
  <c r="Z13" i="1" s="1"/>
  <c r="Z14" i="1" s="1"/>
  <c r="B60" i="1"/>
  <c r="N196" i="5" s="1"/>
  <c r="N164" i="5" s="1"/>
  <c r="B59" i="1"/>
  <c r="M196" i="5" s="1"/>
  <c r="M164" i="5" s="1"/>
  <c r="H117" i="5"/>
  <c r="R14" i="1"/>
  <c r="D55" i="1"/>
  <c r="D73" i="1" l="1"/>
  <c r="D72" i="1"/>
  <c r="T102" i="5"/>
  <c r="T103" i="5" s="1"/>
  <c r="T118" i="5"/>
  <c r="T130" i="5" s="1"/>
  <c r="W92" i="5"/>
  <c r="V23" i="5"/>
  <c r="W23" i="5" s="1"/>
  <c r="S118" i="5"/>
  <c r="S130" i="5" s="1"/>
  <c r="W101" i="5"/>
  <c r="V31" i="5"/>
  <c r="W31" i="5" s="1"/>
  <c r="W98" i="5"/>
  <c r="V30" i="5"/>
  <c r="W30" i="5" s="1"/>
  <c r="L94" i="5"/>
  <c r="L96" i="5" s="1"/>
  <c r="V93" i="5"/>
  <c r="V22" i="5"/>
  <c r="W22" i="5" s="1"/>
  <c r="W89" i="5"/>
  <c r="J102" i="5"/>
  <c r="J103" i="5" s="1"/>
  <c r="J95" i="5"/>
  <c r="J97" i="5" s="1"/>
  <c r="J99" i="5"/>
  <c r="J100" i="5" s="1"/>
  <c r="L102" i="5"/>
  <c r="L103" i="5" s="1"/>
  <c r="L99" i="5"/>
  <c r="L100" i="5" s="1"/>
  <c r="H96" i="5"/>
  <c r="H95" i="5"/>
  <c r="H97" i="5" s="1"/>
  <c r="K95" i="5"/>
  <c r="K97" i="5" s="1"/>
  <c r="K102" i="5"/>
  <c r="K103" i="5" s="1"/>
  <c r="K99" i="5"/>
  <c r="K100" i="5" s="1"/>
  <c r="V18" i="5"/>
  <c r="W18" i="5" s="1"/>
  <c r="V47" i="5"/>
  <c r="W47" i="5" s="1"/>
  <c r="V46" i="5"/>
  <c r="W46" i="5" s="1"/>
  <c r="V19" i="5"/>
  <c r="W19" i="5" s="1"/>
  <c r="O99" i="5"/>
  <c r="O100" i="5" s="1"/>
  <c r="O102" i="5"/>
  <c r="O103" i="5" s="1"/>
  <c r="O95" i="5"/>
  <c r="O97" i="5" s="1"/>
  <c r="S102" i="5"/>
  <c r="S103" i="5" s="1"/>
  <c r="S99" i="5"/>
  <c r="S100" i="5" s="1"/>
  <c r="S95" i="5"/>
  <c r="S97" i="5" s="1"/>
  <c r="P99" i="5"/>
  <c r="P100" i="5" s="1"/>
  <c r="P102" i="5"/>
  <c r="P103" i="5" s="1"/>
  <c r="P95" i="5"/>
  <c r="P97" i="5" s="1"/>
  <c r="U99" i="5"/>
  <c r="U100" i="5" s="1"/>
  <c r="U95" i="5"/>
  <c r="U97" i="5" s="1"/>
  <c r="U102" i="5"/>
  <c r="U103" i="5" s="1"/>
  <c r="N102" i="5"/>
  <c r="N103" i="5" s="1"/>
  <c r="N99" i="5"/>
  <c r="N100" i="5" s="1"/>
  <c r="N95" i="5"/>
  <c r="N97" i="5" s="1"/>
  <c r="I99" i="5"/>
  <c r="I100" i="5" s="1"/>
  <c r="I102" i="5"/>
  <c r="I103" i="5" s="1"/>
  <c r="I95" i="5"/>
  <c r="I97" i="5" s="1"/>
  <c r="M102" i="5"/>
  <c r="M103" i="5" s="1"/>
  <c r="M99" i="5"/>
  <c r="M100" i="5" s="1"/>
  <c r="M95" i="5"/>
  <c r="M97" i="5" s="1"/>
  <c r="R102" i="5"/>
  <c r="R103" i="5" s="1"/>
  <c r="R95" i="5"/>
  <c r="R97" i="5" s="1"/>
  <c r="R99" i="5"/>
  <c r="R100" i="5" s="1"/>
  <c r="T95" i="5"/>
  <c r="T97" i="5" s="1"/>
  <c r="Q95" i="5"/>
  <c r="Q97" i="5" s="1"/>
  <c r="Q102" i="5"/>
  <c r="Q103" i="5" s="1"/>
  <c r="Q99" i="5"/>
  <c r="Q100" i="5" s="1"/>
  <c r="T99" i="5"/>
  <c r="T100" i="5" s="1"/>
  <c r="H102" i="5"/>
  <c r="H103" i="5" s="1"/>
  <c r="H99" i="5"/>
  <c r="R9" i="5"/>
  <c r="R90" i="5" s="1"/>
  <c r="U9" i="5"/>
  <c r="T9" i="5"/>
  <c r="S9" i="5"/>
  <c r="Q9" i="5"/>
  <c r="Q90" i="5" s="1"/>
  <c r="U118" i="5"/>
  <c r="U131" i="5" s="1"/>
  <c r="U132" i="5" s="1"/>
  <c r="Q118" i="5"/>
  <c r="Q121" i="5" s="1"/>
  <c r="T8" i="5"/>
  <c r="U8" i="5"/>
  <c r="S8" i="5"/>
  <c r="R8" i="5"/>
  <c r="Q8" i="5"/>
  <c r="N9" i="5"/>
  <c r="N90" i="5" s="1"/>
  <c r="P9" i="5"/>
  <c r="P90" i="5" s="1"/>
  <c r="K9" i="5"/>
  <c r="I9" i="5"/>
  <c r="I90" i="5" s="1"/>
  <c r="M9" i="5"/>
  <c r="M90" i="5" s="1"/>
  <c r="J9" i="5"/>
  <c r="J90" i="5" s="1"/>
  <c r="H9" i="5"/>
  <c r="H90" i="5" s="1"/>
  <c r="H114" i="5" s="1"/>
  <c r="O9" i="5"/>
  <c r="O90" i="5" s="1"/>
  <c r="L9" i="5"/>
  <c r="L90" i="5" s="1"/>
  <c r="I8" i="5"/>
  <c r="L196" i="5"/>
  <c r="L164" i="5" s="1"/>
  <c r="R118" i="5"/>
  <c r="R130" i="5" s="1"/>
  <c r="D75" i="1"/>
  <c r="D76" i="1"/>
  <c r="S125" i="5"/>
  <c r="S126" i="5"/>
  <c r="S127" i="5"/>
  <c r="S128" i="5"/>
  <c r="S123" i="5"/>
  <c r="S119" i="5"/>
  <c r="S120" i="5"/>
  <c r="S124" i="5"/>
  <c r="S121" i="5"/>
  <c r="S122" i="5"/>
  <c r="O118" i="5"/>
  <c r="O130" i="5" s="1"/>
  <c r="P118" i="5"/>
  <c r="P130" i="5" s="1"/>
  <c r="H165" i="5"/>
  <c r="AI11" i="1"/>
  <c r="C58" i="1"/>
  <c r="E58" i="1" s="1"/>
  <c r="C63" i="1"/>
  <c r="E63" i="1" s="1"/>
  <c r="C61" i="1"/>
  <c r="E61" i="1" s="1"/>
  <c r="C62" i="1"/>
  <c r="E62" i="1" s="1"/>
  <c r="C65" i="1"/>
  <c r="E65" i="1" s="1"/>
  <c r="C56" i="1"/>
  <c r="E56" i="1" s="1"/>
  <c r="C59" i="1"/>
  <c r="E59" i="1" s="1"/>
  <c r="C64" i="1"/>
  <c r="E64" i="1" s="1"/>
  <c r="C55" i="1"/>
  <c r="E55" i="1" s="1"/>
  <c r="C60" i="1"/>
  <c r="E60" i="1" s="1"/>
  <c r="C57" i="1"/>
  <c r="E57" i="1" s="1"/>
  <c r="M122" i="5"/>
  <c r="M120" i="5"/>
  <c r="M121" i="5"/>
  <c r="M119" i="5"/>
  <c r="N122" i="5"/>
  <c r="N120" i="5"/>
  <c r="L118" i="5"/>
  <c r="L124" i="5" s="1"/>
  <c r="K118" i="5"/>
  <c r="K130" i="5" s="1"/>
  <c r="N123" i="5"/>
  <c r="N121" i="5"/>
  <c r="N119" i="5"/>
  <c r="J118" i="5"/>
  <c r="J119" i="5" s="1"/>
  <c r="M123" i="5"/>
  <c r="M124" i="5"/>
  <c r="M125" i="5"/>
  <c r="N124" i="5"/>
  <c r="H69" i="5"/>
  <c r="T120" i="5"/>
  <c r="T122" i="5"/>
  <c r="T124" i="5"/>
  <c r="T126" i="5"/>
  <c r="T128" i="5"/>
  <c r="T119" i="5"/>
  <c r="T121" i="5"/>
  <c r="T123" i="5"/>
  <c r="T125" i="5"/>
  <c r="T127" i="5"/>
  <c r="T129" i="5"/>
  <c r="T116" i="5"/>
  <c r="R116" i="5"/>
  <c r="P116" i="5"/>
  <c r="L116" i="5"/>
  <c r="U116" i="5"/>
  <c r="S116" i="5"/>
  <c r="Q116" i="5"/>
  <c r="O116" i="5"/>
  <c r="K116" i="5"/>
  <c r="J116" i="5"/>
  <c r="M129" i="5"/>
  <c r="M127" i="5"/>
  <c r="N129" i="5"/>
  <c r="N127" i="5"/>
  <c r="N125" i="5"/>
  <c r="N128" i="5"/>
  <c r="N126" i="5"/>
  <c r="M128" i="5"/>
  <c r="M126" i="5"/>
  <c r="L165" i="5"/>
  <c r="Q165" i="5"/>
  <c r="O165" i="5"/>
  <c r="R165" i="5"/>
  <c r="N165" i="5"/>
  <c r="U165" i="5"/>
  <c r="P165" i="5"/>
  <c r="H152" i="5"/>
  <c r="H153" i="5"/>
  <c r="S165" i="5"/>
  <c r="T165" i="5"/>
  <c r="I165" i="5"/>
  <c r="J165" i="5"/>
  <c r="K165" i="5"/>
  <c r="I40" i="5"/>
  <c r="M165" i="5"/>
  <c r="O14" i="1"/>
  <c r="W33" i="5" l="1"/>
  <c r="V33" i="5"/>
  <c r="V51" i="5"/>
  <c r="W51" i="5" s="1"/>
  <c r="S129" i="5"/>
  <c r="W93" i="5"/>
  <c r="V57" i="5"/>
  <c r="W57" i="5" s="1"/>
  <c r="V58" i="5"/>
  <c r="V59" i="5"/>
  <c r="W59" i="5" s="1"/>
  <c r="L95" i="5"/>
  <c r="L97" i="5" s="1"/>
  <c r="V50" i="5"/>
  <c r="R10" i="5"/>
  <c r="R11" i="5" s="1"/>
  <c r="H100" i="5"/>
  <c r="H105" i="5" s="1"/>
  <c r="H115" i="5"/>
  <c r="U90" i="5"/>
  <c r="U91" i="5" s="1"/>
  <c r="T90" i="5"/>
  <c r="T91" i="5" s="1"/>
  <c r="S90" i="5"/>
  <c r="S91" i="5" s="1"/>
  <c r="K90" i="5"/>
  <c r="K91" i="5" s="1"/>
  <c r="I91" i="5"/>
  <c r="Q91" i="5"/>
  <c r="H91" i="5"/>
  <c r="R91" i="5"/>
  <c r="J91" i="5"/>
  <c r="L10" i="5"/>
  <c r="L169" i="5" s="1"/>
  <c r="L91" i="5"/>
  <c r="M10" i="5"/>
  <c r="M11" i="5" s="1"/>
  <c r="M91" i="5"/>
  <c r="O10" i="5"/>
  <c r="O11" i="5" s="1"/>
  <c r="O91" i="5"/>
  <c r="P10" i="5"/>
  <c r="P169" i="5" s="1"/>
  <c r="P91" i="5"/>
  <c r="N10" i="5"/>
  <c r="N169" i="5" s="1"/>
  <c r="N91" i="5"/>
  <c r="T10" i="5"/>
  <c r="T169" i="5" s="1"/>
  <c r="Q10" i="5"/>
  <c r="Q11" i="5" s="1"/>
  <c r="S10" i="5"/>
  <c r="S134" i="5" s="1"/>
  <c r="K10" i="5"/>
  <c r="K169" i="5" s="1"/>
  <c r="U10" i="5"/>
  <c r="U169" i="5" s="1"/>
  <c r="U125" i="5"/>
  <c r="J10" i="5"/>
  <c r="J169" i="5" s="1"/>
  <c r="U129" i="5"/>
  <c r="U124" i="5"/>
  <c r="U119" i="5"/>
  <c r="U130" i="5"/>
  <c r="Q125" i="5"/>
  <c r="U123" i="5"/>
  <c r="U128" i="5"/>
  <c r="U122" i="5"/>
  <c r="U127" i="5"/>
  <c r="U121" i="5"/>
  <c r="U126" i="5"/>
  <c r="U120" i="5"/>
  <c r="H10" i="5"/>
  <c r="H169" i="5" s="1"/>
  <c r="I167" i="5" s="1"/>
  <c r="Q129" i="5"/>
  <c r="Q130" i="5"/>
  <c r="Q128" i="5"/>
  <c r="Q119" i="5"/>
  <c r="Q124" i="5"/>
  <c r="Q127" i="5"/>
  <c r="Q123" i="5"/>
  <c r="Q120" i="5"/>
  <c r="Q126" i="5"/>
  <c r="Q122" i="5"/>
  <c r="U133" i="5"/>
  <c r="I10" i="5"/>
  <c r="I169" i="5" s="1"/>
  <c r="W25" i="5"/>
  <c r="R119" i="5"/>
  <c r="R129" i="5"/>
  <c r="R126" i="5"/>
  <c r="R124" i="5"/>
  <c r="R123" i="5"/>
  <c r="R125" i="5"/>
  <c r="R122" i="5"/>
  <c r="R121" i="5"/>
  <c r="R120" i="5"/>
  <c r="R128" i="5"/>
  <c r="R127" i="5"/>
  <c r="O126" i="5"/>
  <c r="P121" i="5"/>
  <c r="P126" i="5"/>
  <c r="P129" i="5"/>
  <c r="P124" i="5"/>
  <c r="O124" i="5"/>
  <c r="O120" i="5"/>
  <c r="O123" i="5"/>
  <c r="O121" i="5"/>
  <c r="O119" i="5"/>
  <c r="P128" i="5"/>
  <c r="P120" i="5"/>
  <c r="P125" i="5"/>
  <c r="P119" i="5"/>
  <c r="P127" i="5"/>
  <c r="P123" i="5"/>
  <c r="P122" i="5"/>
  <c r="O122" i="5"/>
  <c r="J120" i="5"/>
  <c r="K122" i="5"/>
  <c r="K124" i="5"/>
  <c r="K121" i="5"/>
  <c r="O125" i="5"/>
  <c r="O128" i="5"/>
  <c r="K126" i="5"/>
  <c r="O129" i="5"/>
  <c r="O127" i="5"/>
  <c r="K128" i="5"/>
  <c r="K127" i="5"/>
  <c r="K129" i="5"/>
  <c r="K123" i="5"/>
  <c r="K125" i="5"/>
  <c r="J123" i="5"/>
  <c r="J126" i="5"/>
  <c r="J128" i="5"/>
  <c r="L130" i="5"/>
  <c r="J125" i="5"/>
  <c r="J129" i="5"/>
  <c r="L128" i="5"/>
  <c r="L129" i="5"/>
  <c r="L125" i="5"/>
  <c r="L127" i="5"/>
  <c r="L126" i="5"/>
  <c r="L123" i="5"/>
  <c r="L122" i="5"/>
  <c r="AI12" i="1"/>
  <c r="J130" i="5"/>
  <c r="J122" i="5"/>
  <c r="J127" i="5"/>
  <c r="J121" i="5"/>
  <c r="J124" i="5"/>
  <c r="K120" i="5"/>
  <c r="K119" i="5"/>
  <c r="L119" i="5"/>
  <c r="L121" i="5"/>
  <c r="L120" i="5"/>
  <c r="I111" i="5"/>
  <c r="I106" i="5"/>
  <c r="I113" i="5"/>
  <c r="I136" i="5" s="1"/>
  <c r="I109" i="5"/>
  <c r="H40" i="5"/>
  <c r="X40" i="5" s="1"/>
  <c r="X41" i="5" s="1"/>
  <c r="X70" i="5" s="1"/>
  <c r="I41" i="5"/>
  <c r="I70" i="5" s="1"/>
  <c r="L14" i="1"/>
  <c r="V61" i="5" l="1"/>
  <c r="W58" i="5"/>
  <c r="W61" i="5" s="1"/>
  <c r="V53" i="5"/>
  <c r="W50" i="5"/>
  <c r="W53" i="5" s="1"/>
  <c r="W65" i="5" s="1"/>
  <c r="V65" i="5" s="1"/>
  <c r="W36" i="5"/>
  <c r="W39" i="5"/>
  <c r="W37" i="5"/>
  <c r="W38" i="5"/>
  <c r="W35" i="5"/>
  <c r="L11" i="5"/>
  <c r="R169" i="5"/>
  <c r="R134" i="5"/>
  <c r="N11" i="5"/>
  <c r="N177" i="5" s="1"/>
  <c r="O169" i="5"/>
  <c r="M169" i="5"/>
  <c r="T134" i="5"/>
  <c r="P11" i="5"/>
  <c r="Q169" i="5"/>
  <c r="T11" i="5"/>
  <c r="Q134" i="5"/>
  <c r="U134" i="5"/>
  <c r="U135" i="5" s="1"/>
  <c r="U11" i="5"/>
  <c r="S11" i="5"/>
  <c r="S169" i="5"/>
  <c r="H11" i="5"/>
  <c r="K11" i="5"/>
  <c r="J167" i="5"/>
  <c r="K167" i="5" s="1"/>
  <c r="L167" i="5" s="1"/>
  <c r="M167" i="5" s="1"/>
  <c r="N167" i="5" s="1"/>
  <c r="O167" i="5" s="1"/>
  <c r="J11" i="5"/>
  <c r="H104" i="5"/>
  <c r="H106" i="5" s="1"/>
  <c r="I11" i="5"/>
  <c r="AI13" i="1"/>
  <c r="I118" i="5"/>
  <c r="H111" i="5"/>
  <c r="H113" i="5"/>
  <c r="H136" i="5" s="1"/>
  <c r="H109" i="5"/>
  <c r="H118" i="5" s="1"/>
  <c r="I116" i="5"/>
  <c r="I186" i="5"/>
  <c r="H41" i="5"/>
  <c r="H70" i="5" s="1"/>
  <c r="X71" i="5" s="1"/>
  <c r="I14" i="1"/>
  <c r="W63" i="5" l="1"/>
  <c r="V63" i="5" s="1"/>
  <c r="W64" i="5"/>
  <c r="V64" i="5" s="1"/>
  <c r="W67" i="5"/>
  <c r="V67" i="5" s="1"/>
  <c r="W66" i="5"/>
  <c r="V66" i="5" s="1"/>
  <c r="P167" i="5"/>
  <c r="Q167" i="5" s="1"/>
  <c r="R167" i="5" s="1"/>
  <c r="S167" i="5" s="1"/>
  <c r="T167" i="5" s="1"/>
  <c r="U167" i="5" s="1"/>
  <c r="V167" i="5" s="1"/>
  <c r="T138" i="5"/>
  <c r="U138" i="5"/>
  <c r="V138" i="5" s="1"/>
  <c r="V159" i="5" s="1"/>
  <c r="AI14" i="1"/>
  <c r="H116" i="5"/>
  <c r="W40" i="5" s="1"/>
  <c r="I130" i="5"/>
  <c r="I126" i="5"/>
  <c r="I119" i="5"/>
  <c r="I127" i="5"/>
  <c r="I120" i="5"/>
  <c r="I122" i="5"/>
  <c r="I123" i="5"/>
  <c r="I128" i="5"/>
  <c r="I125" i="5"/>
  <c r="I124" i="5"/>
  <c r="I129" i="5"/>
  <c r="I121" i="5"/>
  <c r="H129" i="5"/>
  <c r="H120" i="5"/>
  <c r="H122" i="5"/>
  <c r="H126" i="5"/>
  <c r="H130" i="5"/>
  <c r="H125" i="5"/>
  <c r="H124" i="5"/>
  <c r="H128" i="5"/>
  <c r="H119" i="5"/>
  <c r="H121" i="5"/>
  <c r="H123" i="5"/>
  <c r="H127" i="5"/>
  <c r="P138" i="5"/>
  <c r="R138" i="5"/>
  <c r="O138" i="5"/>
  <c r="N138" i="5"/>
  <c r="M138" i="5"/>
  <c r="Q138" i="5"/>
  <c r="S138" i="5"/>
  <c r="I138" i="5"/>
  <c r="H138" i="5"/>
  <c r="J138" i="5"/>
  <c r="L138" i="5"/>
  <c r="K138" i="5"/>
  <c r="H186" i="5"/>
  <c r="H159" i="5"/>
  <c r="I159" i="5" s="1"/>
  <c r="J159" i="5" s="1"/>
  <c r="K159" i="5" s="1"/>
  <c r="L159" i="5" s="1"/>
  <c r="F14" i="1"/>
  <c r="W68" i="5" l="1"/>
  <c r="W69" i="5" s="1"/>
  <c r="V68" i="5"/>
  <c r="V69" i="5" s="1"/>
  <c r="M159" i="5"/>
  <c r="N159" i="5" s="1"/>
  <c r="O159" i="5" s="1"/>
  <c r="P159" i="5" s="1"/>
  <c r="T131" i="5"/>
  <c r="T132" i="5" s="1"/>
  <c r="T133" i="5" s="1"/>
  <c r="I131" i="5"/>
  <c r="I132" i="5" s="1"/>
  <c r="I133" i="5" s="1"/>
  <c r="N131" i="5"/>
  <c r="N132" i="5" s="1"/>
  <c r="N133" i="5" s="1"/>
  <c r="R131" i="5"/>
  <c r="R132" i="5" s="1"/>
  <c r="R133" i="5" s="1"/>
  <c r="L131" i="5"/>
  <c r="L132" i="5" s="1"/>
  <c r="L133" i="5" s="1"/>
  <c r="Q131" i="5"/>
  <c r="Q132" i="5" s="1"/>
  <c r="Q133" i="5" s="1"/>
  <c r="P131" i="5"/>
  <c r="P132" i="5" s="1"/>
  <c r="S131" i="5"/>
  <c r="S132" i="5" s="1"/>
  <c r="S133" i="5" s="1"/>
  <c r="O131" i="5"/>
  <c r="O132" i="5" s="1"/>
  <c r="M131" i="5"/>
  <c r="M132" i="5" s="1"/>
  <c r="M133" i="5" s="1"/>
  <c r="J131" i="5"/>
  <c r="J132" i="5" s="1"/>
  <c r="K131" i="5"/>
  <c r="K132" i="5" s="1"/>
  <c r="K133" i="5" s="1"/>
  <c r="V40" i="5"/>
  <c r="W41" i="5"/>
  <c r="H131" i="5"/>
  <c r="C14" i="1"/>
  <c r="W70" i="5" l="1"/>
  <c r="P133" i="5"/>
  <c r="P134" i="5"/>
  <c r="O133" i="5"/>
  <c r="O134" i="5"/>
  <c r="Q159" i="5"/>
  <c r="J133" i="5"/>
  <c r="J135" i="5" s="1"/>
  <c r="M135" i="5"/>
  <c r="V38" i="5"/>
  <c r="V36" i="5"/>
  <c r="V37" i="5"/>
  <c r="V35" i="5"/>
  <c r="K135" i="5"/>
  <c r="L135" i="5"/>
  <c r="H132" i="5"/>
  <c r="H133" i="5" s="1"/>
  <c r="R159" i="5" l="1"/>
  <c r="Q177" i="5"/>
  <c r="S135" i="5"/>
  <c r="R135" i="5"/>
  <c r="V39" i="5"/>
  <c r="T135" i="5"/>
  <c r="Q135" i="5"/>
  <c r="P135" i="5"/>
  <c r="O135" i="5"/>
  <c r="S159" i="5" l="1"/>
  <c r="R177" i="5"/>
  <c r="V148" i="5"/>
  <c r="I135" i="5"/>
  <c r="H135" i="5"/>
  <c r="T159" i="5" l="1"/>
  <c r="S177" i="5"/>
  <c r="N135" i="5"/>
  <c r="U137" i="5" s="1"/>
  <c r="U139" i="5" s="1"/>
  <c r="I137" i="5"/>
  <c r="H137" i="5"/>
  <c r="H139" i="5" s="1"/>
  <c r="M137" i="5"/>
  <c r="J137" i="5"/>
  <c r="K137" i="5"/>
  <c r="L137" i="5"/>
  <c r="H147" i="5" l="1"/>
  <c r="H146" i="5"/>
  <c r="I139" i="5"/>
  <c r="L139" i="5"/>
  <c r="U147" i="5"/>
  <c r="U146" i="5"/>
  <c r="K139" i="5"/>
  <c r="J139" i="5"/>
  <c r="M139" i="5"/>
  <c r="U159" i="5"/>
  <c r="T177" i="5"/>
  <c r="T137" i="5"/>
  <c r="S137" i="5"/>
  <c r="R137" i="5"/>
  <c r="P137" i="5"/>
  <c r="O137" i="5"/>
  <c r="Q137" i="5"/>
  <c r="N137" i="5"/>
  <c r="U156" i="5" l="1"/>
  <c r="U158" i="5" s="1"/>
  <c r="U160" i="5" s="1"/>
  <c r="O139" i="5"/>
  <c r="P139" i="5"/>
  <c r="K147" i="5"/>
  <c r="K146" i="5"/>
  <c r="I147" i="5"/>
  <c r="I146" i="5"/>
  <c r="R139" i="5"/>
  <c r="S139" i="5"/>
  <c r="M146" i="5"/>
  <c r="M147" i="5"/>
  <c r="N139" i="5"/>
  <c r="T139" i="5"/>
  <c r="Q139" i="5"/>
  <c r="J147" i="5"/>
  <c r="J146" i="5"/>
  <c r="L147" i="5"/>
  <c r="L146" i="5"/>
  <c r="U177" i="5"/>
  <c r="H156" i="5"/>
  <c r="I156" i="5" l="1"/>
  <c r="I158" i="5" s="1"/>
  <c r="I160" i="5" s="1"/>
  <c r="J156" i="5"/>
  <c r="J158" i="5" s="1"/>
  <c r="J160" i="5" s="1"/>
  <c r="N147" i="5"/>
  <c r="N146" i="5"/>
  <c r="R147" i="5"/>
  <c r="R146" i="5"/>
  <c r="P146" i="5"/>
  <c r="P147" i="5"/>
  <c r="Q146" i="5"/>
  <c r="Q147" i="5"/>
  <c r="O147" i="5"/>
  <c r="O146" i="5"/>
  <c r="M156" i="5"/>
  <c r="M158" i="5" s="1"/>
  <c r="M160" i="5" s="1"/>
  <c r="L156" i="5"/>
  <c r="L158" i="5" s="1"/>
  <c r="L160" i="5" s="1"/>
  <c r="T147" i="5"/>
  <c r="T146" i="5"/>
  <c r="S146" i="5"/>
  <c r="S147" i="5"/>
  <c r="K156" i="5"/>
  <c r="K158" i="5" s="1"/>
  <c r="K160" i="5" s="1"/>
  <c r="H158" i="5"/>
  <c r="H160" i="5" s="1"/>
  <c r="T156" i="5" l="1"/>
  <c r="T158" i="5" s="1"/>
  <c r="T160" i="5" s="1"/>
  <c r="N156" i="5"/>
  <c r="N158" i="5" s="1"/>
  <c r="N160" i="5" s="1"/>
  <c r="O156" i="5"/>
  <c r="O158" i="5" s="1"/>
  <c r="O160" i="5" s="1"/>
  <c r="R156" i="5"/>
  <c r="R158" i="5" s="1"/>
  <c r="R160" i="5" s="1"/>
  <c r="P156" i="5"/>
  <c r="P158" i="5" s="1"/>
  <c r="P160" i="5" s="1"/>
  <c r="S156" i="5"/>
  <c r="S158" i="5" s="1"/>
  <c r="S160" i="5" s="1"/>
  <c r="Q156" i="5"/>
  <c r="Q158" i="5" s="1"/>
  <c r="Q160" i="5" s="1"/>
  <c r="H168" i="5"/>
  <c r="I166" i="5" s="1"/>
  <c r="H170" i="5" l="1"/>
  <c r="H172" i="5" s="1"/>
  <c r="I168" i="5"/>
  <c r="H173" i="5" l="1"/>
  <c r="H174" i="5" s="1"/>
  <c r="H177" i="5" s="1"/>
  <c r="J166" i="5"/>
  <c r="I170" i="5"/>
  <c r="I172" i="5" s="1"/>
  <c r="H176" i="5" l="1"/>
  <c r="H178" i="5" s="1"/>
  <c r="H183" i="5" s="1"/>
  <c r="H187" i="5" s="1"/>
  <c r="H188" i="5" s="1"/>
  <c r="J168" i="5"/>
  <c r="J170" i="5" s="1"/>
  <c r="I173" i="5"/>
  <c r="I174" i="5" s="1"/>
  <c r="I177" i="5" s="1"/>
  <c r="K166" i="5" l="1"/>
  <c r="J172" i="5"/>
  <c r="I176" i="5"/>
  <c r="I178" i="5" s="1"/>
  <c r="I183" i="5" s="1"/>
  <c r="I187" i="5" s="1"/>
  <c r="I188" i="5" s="1"/>
  <c r="K168" i="5" l="1"/>
  <c r="L166" i="5" s="1"/>
  <c r="J173" i="5"/>
  <c r="J174" i="5" s="1"/>
  <c r="K170" i="5" l="1"/>
  <c r="K172" i="5" s="1"/>
  <c r="L168" i="5"/>
  <c r="M166" i="5" s="1"/>
  <c r="J177" i="5"/>
  <c r="J176" i="5"/>
  <c r="L170" i="5" l="1"/>
  <c r="L172" i="5" s="1"/>
  <c r="K173" i="5"/>
  <c r="K174" i="5" s="1"/>
  <c r="K177" i="5" s="1"/>
  <c r="N166" i="5"/>
  <c r="M168" i="5"/>
  <c r="J178" i="5"/>
  <c r="J183" i="5" s="1"/>
  <c r="J187" i="5" s="1"/>
  <c r="J188" i="5" s="1"/>
  <c r="M170" i="5" l="1"/>
  <c r="M172" i="5" s="1"/>
  <c r="K176" i="5"/>
  <c r="K178" i="5" s="1"/>
  <c r="K183" i="5" s="1"/>
  <c r="K187" i="5" s="1"/>
  <c r="K188" i="5" s="1"/>
  <c r="L173" i="5"/>
  <c r="L174" i="5" l="1"/>
  <c r="L177" i="5" s="1"/>
  <c r="L176" i="5"/>
  <c r="M173" i="5"/>
  <c r="M174" i="5" s="1"/>
  <c r="L178" i="5" l="1"/>
  <c r="L183" i="5" s="1"/>
  <c r="L187" i="5" s="1"/>
  <c r="L188" i="5" s="1"/>
  <c r="N168" i="5"/>
  <c r="N170" i="5" s="1"/>
  <c r="M176" i="5"/>
  <c r="M177" i="5"/>
  <c r="O166" i="5" l="1"/>
  <c r="N172" i="5"/>
  <c r="M178" i="5"/>
  <c r="M183" i="5" s="1"/>
  <c r="M187" i="5" s="1"/>
  <c r="M188" i="5" s="1"/>
  <c r="N173" i="5" l="1"/>
  <c r="N174" i="5" s="1"/>
  <c r="O168" i="5" l="1"/>
  <c r="O170" i="5" s="1"/>
  <c r="N176" i="5"/>
  <c r="N178" i="5" s="1"/>
  <c r="N183" i="5" s="1"/>
  <c r="N187" i="5" s="1"/>
  <c r="N188" i="5" s="1"/>
  <c r="P166" i="5" l="1"/>
  <c r="O172" i="5"/>
  <c r="O173" i="5" l="1"/>
  <c r="O176" i="5" s="1"/>
  <c r="P168" i="5"/>
  <c r="Q166" i="5" s="1"/>
  <c r="O174" i="5" l="1"/>
  <c r="O177" i="5" s="1"/>
  <c r="O178" i="5" s="1"/>
  <c r="O183" i="5" s="1"/>
  <c r="O187" i="5" s="1"/>
  <c r="O188" i="5" s="1"/>
  <c r="P170" i="5"/>
  <c r="P172" i="5" s="1"/>
  <c r="P173" i="5" l="1"/>
  <c r="V11" i="5"/>
  <c r="V25" i="5"/>
  <c r="V41" i="5" s="1"/>
  <c r="V70" i="5" s="1"/>
  <c r="Q168" i="5" l="1"/>
  <c r="P174" i="5"/>
  <c r="P177" i="5" s="1"/>
  <c r="P176" i="5"/>
  <c r="V137" i="5"/>
  <c r="V139" i="5" l="1"/>
  <c r="Q170" i="5"/>
  <c r="Q172" i="5" s="1"/>
  <c r="V146" i="5"/>
  <c r="V147" i="5"/>
  <c r="R166" i="5"/>
  <c r="P178" i="5"/>
  <c r="P183" i="5" s="1"/>
  <c r="P187" i="5" s="1"/>
  <c r="P188" i="5" s="1"/>
  <c r="Q173" i="5" l="1"/>
  <c r="Q176" i="5" s="1"/>
  <c r="Q178" i="5" s="1"/>
  <c r="Q183" i="5" s="1"/>
  <c r="Q187" i="5" s="1"/>
  <c r="Q188" i="5" s="1"/>
  <c r="V156" i="5"/>
  <c r="R168" i="5"/>
  <c r="Q174" i="5"/>
  <c r="V158" i="5" l="1"/>
  <c r="V160" i="5" s="1"/>
  <c r="R170" i="5"/>
  <c r="R172" i="5" s="1"/>
  <c r="S166" i="5"/>
  <c r="R173" i="5"/>
  <c r="R176" i="5" s="1"/>
  <c r="R178" i="5" s="1"/>
  <c r="R183" i="5" s="1"/>
  <c r="R187" i="5" s="1"/>
  <c r="R188" i="5" s="1"/>
  <c r="S168" i="5" l="1"/>
  <c r="S170" i="5" s="1"/>
  <c r="S173" i="5" s="1"/>
  <c r="S176" i="5" s="1"/>
  <c r="S178" i="5" s="1"/>
  <c r="S183" i="5" s="1"/>
  <c r="S187" i="5" s="1"/>
  <c r="S188" i="5" s="1"/>
  <c r="T166" i="5"/>
  <c r="R174" i="5"/>
  <c r="S172" i="5" l="1"/>
  <c r="U166" i="5"/>
  <c r="U168" i="5" s="1"/>
  <c r="T168" i="5"/>
  <c r="V166" i="5" s="1"/>
  <c r="V170" i="5" s="1"/>
  <c r="V173" i="5" s="1"/>
  <c r="S174" i="5"/>
  <c r="T170" i="5" l="1"/>
  <c r="T173" i="5" s="1"/>
  <c r="U170" i="5"/>
  <c r="U172" i="5" s="1"/>
  <c r="V176" i="5"/>
  <c r="V177" i="5"/>
  <c r="U173" i="5" l="1"/>
  <c r="U174" i="5" s="1"/>
  <c r="T174" i="5"/>
  <c r="T176" i="5"/>
  <c r="T178" i="5" s="1"/>
  <c r="T183" i="5" s="1"/>
  <c r="T187" i="5" s="1"/>
  <c r="T188" i="5" s="1"/>
  <c r="T172" i="5"/>
  <c r="V178" i="5"/>
  <c r="V181" i="5"/>
  <c r="V183" i="5" s="1"/>
  <c r="V187" i="5" s="1"/>
  <c r="V188" i="5" s="1"/>
  <c r="U176" i="5"/>
  <c r="U178" i="5" s="1"/>
  <c r="U183" i="5" s="1"/>
  <c r="U187" i="5" s="1"/>
  <c r="U18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Rubén</author>
    <author>User</author>
  </authors>
  <commentList>
    <comment ref="H5" authorId="0" shapeId="0" xr:uid="{00000000-0006-0000-0000-000001000000}">
      <text>
        <r>
          <rPr>
            <b/>
            <sz val="8"/>
            <color indexed="81"/>
            <rFont val="Tahoma"/>
            <family val="2"/>
          </rPr>
          <t xml:space="preserve">Elegir:
0: General; 1 Zona Patagónica; 2 Jubilados: 3 Jubilados Zona Patagónica
</t>
        </r>
      </text>
    </comment>
    <comment ref="I5" authorId="0" shapeId="0" xr:uid="{00000000-0006-0000-0000-000002000000}">
      <text>
        <r>
          <rPr>
            <b/>
            <sz val="8"/>
            <color indexed="81"/>
            <rFont val="Tahoma"/>
            <family val="2"/>
          </rPr>
          <t>Elegir:
0: General; 1 Zona Patagónica; 2 Jubilados</t>
        </r>
      </text>
    </comment>
    <comment ref="J5" authorId="0" shapeId="0" xr:uid="{00000000-0006-0000-0000-000003000000}">
      <text>
        <r>
          <rPr>
            <b/>
            <sz val="8"/>
            <color indexed="81"/>
            <rFont val="Tahoma"/>
            <family val="2"/>
          </rPr>
          <t>Elegir:
0: General; 1 Zona Patagónica; 2 Jubilados</t>
        </r>
      </text>
    </comment>
    <comment ref="K5" authorId="0" shapeId="0" xr:uid="{00000000-0006-0000-0000-000004000000}">
      <text>
        <r>
          <rPr>
            <b/>
            <sz val="8"/>
            <color indexed="81"/>
            <rFont val="Tahoma"/>
            <family val="2"/>
          </rPr>
          <t>Elegir:
0: General; 1 Zona Patagónica; 2 Jubilados</t>
        </r>
      </text>
    </comment>
    <comment ref="L5" authorId="0" shapeId="0" xr:uid="{00000000-0006-0000-0000-000005000000}">
      <text>
        <r>
          <rPr>
            <b/>
            <sz val="8"/>
            <color indexed="81"/>
            <rFont val="Tahoma"/>
            <family val="2"/>
          </rPr>
          <t>Elegir:
0: General; 1 Zona Patagónica; 2 Jubilados</t>
        </r>
      </text>
    </comment>
    <comment ref="M5" authorId="0" shapeId="0" xr:uid="{00000000-0006-0000-0000-000006000000}">
      <text>
        <r>
          <rPr>
            <b/>
            <sz val="8"/>
            <color indexed="81"/>
            <rFont val="Tahoma"/>
            <family val="2"/>
          </rPr>
          <t>Elegir:
0: General; 1 Zona Patagónica; 2 Jubilados</t>
        </r>
      </text>
    </comment>
    <comment ref="N5" authorId="0" shapeId="0" xr:uid="{00000000-0006-0000-0000-000007000000}">
      <text>
        <r>
          <rPr>
            <b/>
            <sz val="8"/>
            <color indexed="81"/>
            <rFont val="Tahoma"/>
            <family val="2"/>
          </rPr>
          <t>Elegir:
0: General; 1 Zona Patagónica; 2 Jubilados</t>
        </r>
      </text>
    </comment>
    <comment ref="O5" authorId="0" shapeId="0" xr:uid="{00000000-0006-0000-0000-000008000000}">
      <text>
        <r>
          <rPr>
            <b/>
            <sz val="8"/>
            <color indexed="81"/>
            <rFont val="Tahoma"/>
            <family val="2"/>
          </rPr>
          <t>Elegir:
0: General; 1 Zona Patagónica; 2 Jubilados</t>
        </r>
      </text>
    </comment>
    <comment ref="P5" authorId="0" shapeId="0" xr:uid="{00000000-0006-0000-0000-000009000000}">
      <text>
        <r>
          <rPr>
            <b/>
            <sz val="8"/>
            <color indexed="81"/>
            <rFont val="Tahoma"/>
            <family val="2"/>
          </rPr>
          <t>Elegir:
0: General; 1 Zona Patagónica; 2 Jubilados</t>
        </r>
      </text>
    </comment>
    <comment ref="Q5" authorId="0" shapeId="0" xr:uid="{00000000-0006-0000-0000-00000A000000}">
      <text>
        <r>
          <rPr>
            <b/>
            <sz val="8"/>
            <color indexed="81"/>
            <rFont val="Tahoma"/>
            <family val="2"/>
          </rPr>
          <t>Elegir:
0: General; 1 Zona Patagónica; 2 Jubilados</t>
        </r>
      </text>
    </comment>
    <comment ref="R5" authorId="0" shapeId="0" xr:uid="{00000000-0006-0000-0000-00000B000000}">
      <text>
        <r>
          <rPr>
            <b/>
            <sz val="8"/>
            <color indexed="81"/>
            <rFont val="Tahoma"/>
            <family val="2"/>
          </rPr>
          <t>Elegir:
0: General; 1 Zona Patagónica; 2 Jubilados</t>
        </r>
      </text>
    </comment>
    <comment ref="S5" authorId="0" shapeId="0" xr:uid="{00000000-0006-0000-0000-00000C000000}">
      <text>
        <r>
          <rPr>
            <b/>
            <sz val="8"/>
            <color indexed="81"/>
            <rFont val="Tahoma"/>
            <family val="2"/>
          </rPr>
          <t>Elegir:
0: General; 1 Zona Patagónica; 2 Jubilados</t>
        </r>
      </text>
    </comment>
    <comment ref="T5" authorId="0" shapeId="0" xr:uid="{00000000-0006-0000-0000-00000D000000}">
      <text>
        <r>
          <rPr>
            <b/>
            <sz val="8"/>
            <color indexed="81"/>
            <rFont val="Tahoma"/>
            <family val="2"/>
          </rPr>
          <t>Elegir:
0: General; 1 Zona Patagónica; 2 Jubilados</t>
        </r>
      </text>
    </comment>
    <comment ref="U5" authorId="0" shapeId="0" xr:uid="{00000000-0006-0000-0000-00000E000000}">
      <text>
        <r>
          <rPr>
            <b/>
            <sz val="8"/>
            <color indexed="81"/>
            <rFont val="Tahoma"/>
            <family val="2"/>
          </rPr>
          <t>Elegir:
0: General; 1 Zona Patagónica; 2 Jubilados</t>
        </r>
      </text>
    </comment>
    <comment ref="V5" authorId="0" shapeId="0" xr:uid="{00000000-0006-0000-0000-00000F000000}">
      <text>
        <r>
          <rPr>
            <b/>
            <sz val="8"/>
            <color indexed="81"/>
            <rFont val="Tahoma"/>
            <family val="2"/>
          </rPr>
          <t>Elegir:
0: General; 1 Zona Patagónica; 2 Jubilados; 3 Jubilados Zona Patagónica</t>
        </r>
      </text>
    </comment>
    <comment ref="E6" authorId="1" shapeId="0" xr:uid="{00000000-0006-0000-0000-000010000000}">
      <text>
        <r>
          <rPr>
            <b/>
            <sz val="14"/>
            <color indexed="81"/>
            <rFont val="Tahoma"/>
            <family val="2"/>
          </rPr>
          <t>ES FUNDAMENTAL CARGAR LA FECHA DEL DEVENGAMIENTO O DEL PAGO (SEGÚN CRITERIO) PARA QUE LA PLANILLA HAGA CORRECTAMENTE LOS CÁLCULOS</t>
        </r>
        <r>
          <rPr>
            <sz val="14"/>
            <color indexed="81"/>
            <rFont val="Tahoma"/>
            <family val="2"/>
          </rPr>
          <t xml:space="preserve">
</t>
        </r>
        <r>
          <rPr>
            <sz val="8"/>
            <color indexed="81"/>
            <rFont val="Tahoma"/>
            <family val="2"/>
          </rPr>
          <t xml:space="preserve">
</t>
        </r>
      </text>
    </comment>
    <comment ref="H6" authorId="1" shapeId="0" xr:uid="{00000000-0006-0000-0000-000011000000}">
      <text>
        <r>
          <rPr>
            <b/>
            <sz val="10"/>
            <color indexed="81"/>
            <rFont val="Tahoma"/>
            <family val="2"/>
          </rPr>
          <t>ES FUNDAMENTAL CARGAR LA FECHA DEL DEVENGAMIENTO O DEL PAGO (SEGÚN CRITERIO) PARA QUE LA PLANILLA HAGA CORRECTAMENTE LOS CÁLCULOS</t>
        </r>
      </text>
    </comment>
    <comment ref="I6" authorId="1" shapeId="0" xr:uid="{00000000-0006-0000-0000-000012000000}">
      <text>
        <r>
          <rPr>
            <b/>
            <sz val="10"/>
            <color indexed="81"/>
            <rFont val="Tahoma"/>
            <family val="2"/>
          </rPr>
          <t>ES FUNDAMENTAL CARGAR LA FECHA DEL DEVENGAMIENTO O DEL PAGO (SEGÚN CRITERIO) PARA QUE LA PLANILLA HAGA CORRECTAMENTE LOS CÁLCULOS</t>
        </r>
      </text>
    </comment>
    <comment ref="J6" authorId="1" shapeId="0" xr:uid="{00000000-0006-0000-0000-000013000000}">
      <text>
        <r>
          <rPr>
            <b/>
            <sz val="10"/>
            <color indexed="81"/>
            <rFont val="Tahoma"/>
            <family val="2"/>
          </rPr>
          <t>ES FUNDAMENTAL CARGAR LA FECHA DEL DEVENGAMIENTO O DEL PAGO (SEGÚN CRITERIO) PARA QUE LA PLANILLA HAGA CORRECTAMENTE LOS CÁLCULOS</t>
        </r>
      </text>
    </comment>
    <comment ref="K6" authorId="1" shapeId="0" xr:uid="{00000000-0006-0000-0000-000014000000}">
      <text>
        <r>
          <rPr>
            <b/>
            <sz val="10"/>
            <color indexed="81"/>
            <rFont val="Tahoma"/>
            <family val="2"/>
          </rPr>
          <t>ES FUNDAMENTAL CARGAR LA FECHA DEL DEVENGAMIENTO O DEL PAGO (SEGÚN CRITERIO) PARA QUE LA PLANILLA HAGA CORRECTAMENTE LOS CÁLCULOS</t>
        </r>
      </text>
    </comment>
    <comment ref="L6" authorId="1" shapeId="0" xr:uid="{00000000-0006-0000-0000-000015000000}">
      <text>
        <r>
          <rPr>
            <b/>
            <sz val="10"/>
            <color indexed="81"/>
            <rFont val="Tahoma"/>
            <family val="2"/>
          </rPr>
          <t>ES FUNDAMENTAL CARGAR LA FECHA DEL DEVENGAMIENTO O DEL PAGO (SEGÚN CRITERIO) PARA QUE LA PLANILLA HAGA CORRECTAMENTE LOS CÁLCULOS</t>
        </r>
      </text>
    </comment>
    <comment ref="M6" authorId="1" shapeId="0" xr:uid="{00000000-0006-0000-0000-000016000000}">
      <text>
        <r>
          <rPr>
            <b/>
            <sz val="10"/>
            <color indexed="81"/>
            <rFont val="Tahoma"/>
            <family val="2"/>
          </rPr>
          <t>ES FUNDAMENTAL CARGAR LA FECHA DEL DEVENGAMIENTO O DEL PAGO (SEGÚN CRITERIO) PARA QUE LA PLANILLA HAGA CORRECTAMENTE LOS CÁLCULOS</t>
        </r>
      </text>
    </comment>
    <comment ref="N6" authorId="1" shapeId="0" xr:uid="{00000000-0006-0000-0000-000017000000}">
      <text>
        <r>
          <rPr>
            <b/>
            <sz val="10"/>
            <color indexed="81"/>
            <rFont val="Tahoma"/>
            <family val="2"/>
          </rPr>
          <t>ES FUNDAMENTAL CARGAR LA FECHA DEL DEVENGAMIENTO O DEL PAGO (SEGÚN CRITERIO) PARA QUE LA PLANILLA HAGA CORRECTAMENTE LOS CÁLCULOS</t>
        </r>
      </text>
    </comment>
    <comment ref="O6" authorId="1" shapeId="0" xr:uid="{00000000-0006-0000-0000-000018000000}">
      <text>
        <r>
          <rPr>
            <b/>
            <sz val="10"/>
            <color indexed="81"/>
            <rFont val="Tahoma"/>
            <family val="2"/>
          </rPr>
          <t>ES FUNDAMENTAL CARGAR LA FECHA DEL DEVENGAMIENTO O DEL PAGO (SEGÚN CRITERIO) PARA QUE LA PLANILLA HAGA CORRECTAMENTE LOS CÁLCULOS</t>
        </r>
      </text>
    </comment>
    <comment ref="P6" authorId="1" shapeId="0" xr:uid="{00000000-0006-0000-0000-000019000000}">
      <text>
        <r>
          <rPr>
            <b/>
            <sz val="10"/>
            <color indexed="81"/>
            <rFont val="Tahoma"/>
            <family val="2"/>
          </rPr>
          <t>ES FUNDAMENTAL CARGAR LA FECHA DEL DEVENGAMIENTO O DEL PAGO (SEGÚN CRITERIO) PARA QUE LA PLANILLA HAGA CORRECTAMENTE LOS CÁLCULOS</t>
        </r>
      </text>
    </comment>
    <comment ref="Q6" authorId="1" shapeId="0" xr:uid="{00000000-0006-0000-0000-00001A000000}">
      <text>
        <r>
          <rPr>
            <b/>
            <sz val="10"/>
            <color indexed="81"/>
            <rFont val="Tahoma"/>
            <family val="2"/>
          </rPr>
          <t>ES FUNDAMENTAL CARGAR LA FECHA DEL DEVENGAMIENTO O DEL PAGO (SEGÚN CRITERIO) PARA QUE LA PLANILLA HAGA CORRECTAMENTE LOS CÁLCULOS</t>
        </r>
      </text>
    </comment>
    <comment ref="R6" authorId="1" shapeId="0" xr:uid="{00000000-0006-0000-0000-00001B000000}">
      <text>
        <r>
          <rPr>
            <b/>
            <sz val="10"/>
            <color indexed="81"/>
            <rFont val="Tahoma"/>
            <family val="2"/>
          </rPr>
          <t>ES FUNDAMENTAL CARGAR LA FECHA DEL DEVENGAMIENTO O DEL PAGO (SEGÚN CRITERIO) PARA QUE LA PLANILLA HAGA CORRECTAMENTE LOS CÁLCULOS</t>
        </r>
      </text>
    </comment>
    <comment ref="S6" authorId="1" shapeId="0" xr:uid="{00000000-0006-0000-0000-00001C000000}">
      <text>
        <r>
          <rPr>
            <b/>
            <sz val="10"/>
            <color indexed="81"/>
            <rFont val="Tahoma"/>
            <family val="2"/>
          </rPr>
          <t>ES FUNDAMENTAL CARGAR LA FECHA DEL DEVENGAMIENTO O DEL PAGO (SEGÚN CRITERIO) PARA QUE LA PLANILLA HAGA CORRECTAMENTE LOS CÁLCULOS</t>
        </r>
      </text>
    </comment>
    <comment ref="T6" authorId="1" shapeId="0" xr:uid="{00000000-0006-0000-0000-00001D000000}">
      <text>
        <r>
          <rPr>
            <b/>
            <sz val="10"/>
            <color indexed="81"/>
            <rFont val="Tahoma"/>
            <family val="2"/>
          </rPr>
          <t>ES FUNDAMENTAL CARGAR LA FECHA DEL DEVENGAMIENTO O DEL PAGO (SEGÚN CRITERIO) PARA QUE LA PLANILLA HAGA CORRECTAMENTE LOS CÁLCULOS</t>
        </r>
      </text>
    </comment>
    <comment ref="U6" authorId="1" shapeId="0" xr:uid="{00000000-0006-0000-0000-00001E000000}">
      <text>
        <r>
          <rPr>
            <b/>
            <sz val="10"/>
            <color indexed="81"/>
            <rFont val="Tahoma"/>
            <family val="2"/>
          </rPr>
          <t>ES FUNDAMENTAL CARGAR LA FECHA DEL DEVENGAMIENTO O DEL PAGO (SEGÚN CRITERIO) PARA QUE LA PLANILLA HAGA CORRECTAMENTE LOS CÁLCULOS</t>
        </r>
      </text>
    </comment>
    <comment ref="V6" authorId="1" shapeId="0" xr:uid="{00000000-0006-0000-0000-00001F000000}">
      <text>
        <r>
          <rPr>
            <b/>
            <sz val="14"/>
            <color indexed="81"/>
            <rFont val="Tahoma"/>
            <family val="2"/>
          </rPr>
          <t>PONER LA FECHA DE LA LIQUIDACION FINAL / ANUAL</t>
        </r>
      </text>
    </comment>
    <comment ref="C22" authorId="2" shapeId="0" xr:uid="{00000000-0006-0000-0000-000020000000}">
      <text>
        <r>
          <rPr>
            <b/>
            <sz val="9"/>
            <color indexed="81"/>
            <rFont val="Tahoma"/>
            <family val="2"/>
          </rPr>
          <t>DT: Doble tope: es exento cuando el sueldo promedio no supera un monto determinado, y hasta el 40% del MNI</t>
        </r>
      </text>
    </comment>
    <comment ref="C23" authorId="2" shapeId="0" xr:uid="{00000000-0006-0000-0000-000021000000}">
      <text>
        <r>
          <rPr>
            <b/>
            <sz val="9"/>
            <color indexed="81"/>
            <rFont val="Tahoma"/>
            <family val="2"/>
          </rPr>
          <t xml:space="preserve">Hasta el 40% del MNI
</t>
        </r>
        <r>
          <rPr>
            <sz val="9"/>
            <color indexed="81"/>
            <rFont val="Tahoma"/>
            <family val="2"/>
          </rPr>
          <t xml:space="preserve">
</t>
        </r>
      </text>
    </comment>
    <comment ref="C29" authorId="2" shapeId="0" xr:uid="{00000000-0006-0000-0000-000022000000}">
      <text>
        <r>
          <rPr>
            <b/>
            <sz val="9"/>
            <color indexed="81"/>
            <rFont val="Tahoma"/>
            <family val="2"/>
          </rPr>
          <t xml:space="preserve">Hasta el 40% del MNI
</t>
        </r>
        <r>
          <rPr>
            <sz val="9"/>
            <color indexed="81"/>
            <rFont val="Tahoma"/>
            <family val="2"/>
          </rPr>
          <t xml:space="preserve">
</t>
        </r>
      </text>
    </comment>
    <comment ref="C30" authorId="2" shapeId="0" xr:uid="{00000000-0006-0000-0000-000023000000}">
      <text>
        <r>
          <rPr>
            <b/>
            <sz val="9"/>
            <color indexed="81"/>
            <rFont val="Tahoma"/>
            <family val="2"/>
          </rPr>
          <t xml:space="preserve">Hasta el 40% del MNI
</t>
        </r>
        <r>
          <rPr>
            <sz val="9"/>
            <color indexed="81"/>
            <rFont val="Tahoma"/>
            <family val="2"/>
          </rPr>
          <t xml:space="preserve">
</t>
        </r>
      </text>
    </comment>
    <comment ref="C31" authorId="2" shapeId="0" xr:uid="{00000000-0006-0000-0000-000024000000}">
      <text>
        <r>
          <rPr>
            <b/>
            <sz val="9"/>
            <color indexed="81"/>
            <rFont val="Tahoma"/>
            <family val="2"/>
          </rPr>
          <t xml:space="preserve">Hasta el 40% del MNI
</t>
        </r>
        <r>
          <rPr>
            <sz val="9"/>
            <color indexed="81"/>
            <rFont val="Tahoma"/>
            <family val="2"/>
          </rPr>
          <t xml:space="preserve">
</t>
        </r>
      </text>
    </comment>
    <comment ref="C50" authorId="2" shapeId="0" xr:uid="{00000000-0006-0000-0000-000025000000}">
      <text>
        <r>
          <rPr>
            <b/>
            <sz val="9"/>
            <color indexed="81"/>
            <rFont val="Tahoma"/>
            <family val="2"/>
          </rPr>
          <t>DT: Doble tope: es exento cuando el sueldo promedio no supera un monto determinado, y hasta el 40% del MNI</t>
        </r>
      </text>
    </comment>
    <comment ref="C51" authorId="2" shapeId="0" xr:uid="{00000000-0006-0000-0000-000026000000}">
      <text>
        <r>
          <rPr>
            <b/>
            <sz val="9"/>
            <color indexed="81"/>
            <rFont val="Tahoma"/>
            <family val="2"/>
          </rPr>
          <t xml:space="preserve">Hasta el 40% del MNI
</t>
        </r>
        <r>
          <rPr>
            <sz val="9"/>
            <color indexed="81"/>
            <rFont val="Tahoma"/>
            <family val="2"/>
          </rPr>
          <t xml:space="preserve">
</t>
        </r>
      </text>
    </comment>
    <comment ref="C57" authorId="2" shapeId="0" xr:uid="{00000000-0006-0000-0000-000027000000}">
      <text>
        <r>
          <rPr>
            <b/>
            <sz val="9"/>
            <color indexed="81"/>
            <rFont val="Tahoma"/>
            <family val="2"/>
          </rPr>
          <t xml:space="preserve">Hasta el 40% del MNI
</t>
        </r>
        <r>
          <rPr>
            <sz val="9"/>
            <color indexed="81"/>
            <rFont val="Tahoma"/>
            <family val="2"/>
          </rPr>
          <t xml:space="preserve">
</t>
        </r>
      </text>
    </comment>
    <comment ref="C58" authorId="2" shapeId="0" xr:uid="{00000000-0006-0000-0000-000028000000}">
      <text>
        <r>
          <rPr>
            <b/>
            <sz val="9"/>
            <color indexed="81"/>
            <rFont val="Tahoma"/>
            <family val="2"/>
          </rPr>
          <t xml:space="preserve">Hasta el 40% del MNI
</t>
        </r>
        <r>
          <rPr>
            <sz val="9"/>
            <color indexed="81"/>
            <rFont val="Tahoma"/>
            <family val="2"/>
          </rPr>
          <t xml:space="preserve">
</t>
        </r>
      </text>
    </comment>
    <comment ref="C59" authorId="2" shapeId="0" xr:uid="{00000000-0006-0000-0000-000029000000}">
      <text>
        <r>
          <rPr>
            <b/>
            <sz val="9"/>
            <color indexed="81"/>
            <rFont val="Tahoma"/>
            <family val="2"/>
          </rPr>
          <t xml:space="preserve">Hasta el 40% del MNI
</t>
        </r>
        <r>
          <rPr>
            <sz val="9"/>
            <color indexed="81"/>
            <rFont val="Tahoma"/>
            <family val="2"/>
          </rPr>
          <t xml:space="preserve">
</t>
        </r>
      </text>
    </comment>
    <comment ref="C92" authorId="2" shapeId="0" xr:uid="{00000000-0006-0000-0000-00002A000000}">
      <text>
        <r>
          <rPr>
            <b/>
            <sz val="9"/>
            <color indexed="81"/>
            <rFont val="Tahoma"/>
            <family val="2"/>
          </rPr>
          <t xml:space="preserve">Hasta el 40% del MNI
</t>
        </r>
        <r>
          <rPr>
            <sz val="9"/>
            <color indexed="81"/>
            <rFont val="Tahoma"/>
            <family val="2"/>
          </rPr>
          <t xml:space="preserve">
</t>
        </r>
      </text>
    </comment>
    <comment ref="C93" authorId="2" shapeId="0" xr:uid="{00000000-0006-0000-0000-00002B000000}">
      <text>
        <r>
          <rPr>
            <b/>
            <sz val="9"/>
            <color indexed="81"/>
            <rFont val="Tahoma"/>
            <family val="2"/>
          </rPr>
          <t xml:space="preserve">Hasta el 40% del MNI
</t>
        </r>
        <r>
          <rPr>
            <sz val="9"/>
            <color indexed="81"/>
            <rFont val="Tahoma"/>
            <family val="2"/>
          </rPr>
          <t xml:space="preserve">
</t>
        </r>
      </text>
    </comment>
    <comment ref="C99" authorId="2" shapeId="0" xr:uid="{00000000-0006-0000-0000-00002C000000}">
      <text>
        <r>
          <rPr>
            <b/>
            <sz val="9"/>
            <color indexed="81"/>
            <rFont val="Tahoma"/>
            <family val="2"/>
          </rPr>
          <t xml:space="preserve">Hasta el 40% del MNI
</t>
        </r>
        <r>
          <rPr>
            <sz val="9"/>
            <color indexed="81"/>
            <rFont val="Tahoma"/>
            <family val="2"/>
          </rPr>
          <t xml:space="preserve">
</t>
        </r>
      </text>
    </comment>
  </commentList>
</comments>
</file>

<file path=xl/sharedStrings.xml><?xml version="1.0" encoding="utf-8"?>
<sst xmlns="http://schemas.openxmlformats.org/spreadsheetml/2006/main" count="1035" uniqueCount="412">
  <si>
    <t>ENERO</t>
  </si>
  <si>
    <t>FEBRERO</t>
  </si>
  <si>
    <t>MARZO</t>
  </si>
  <si>
    <t>ABRIL</t>
  </si>
  <si>
    <t>MAYO</t>
  </si>
  <si>
    <t>JUNIO</t>
  </si>
  <si>
    <t>JULIO</t>
  </si>
  <si>
    <t>AGOSTO</t>
  </si>
  <si>
    <t>SEPTIEMBRE</t>
  </si>
  <si>
    <t>OCTUBRE</t>
  </si>
  <si>
    <t xml:space="preserve"> NOVIEMBRE</t>
  </si>
  <si>
    <t>DICIEMBRE</t>
  </si>
  <si>
    <t>MAS</t>
  </si>
  <si>
    <t>de</t>
  </si>
  <si>
    <t>Pagan</t>
  </si>
  <si>
    <t>DE</t>
  </si>
  <si>
    <t>Legajo:</t>
  </si>
  <si>
    <t>Empleado:</t>
  </si>
  <si>
    <t>informado:</t>
  </si>
  <si>
    <t>calculado:</t>
  </si>
  <si>
    <t>Mínimo No Imponible</t>
  </si>
  <si>
    <t>Deducción Especial</t>
  </si>
  <si>
    <t>Cónyuge</t>
  </si>
  <si>
    <t>Hijos</t>
  </si>
  <si>
    <t>calculado</t>
  </si>
  <si>
    <t>Cantidad</t>
  </si>
  <si>
    <t>Donaciones</t>
  </si>
  <si>
    <t>ANUAL</t>
  </si>
  <si>
    <t>Total Deducible:</t>
  </si>
  <si>
    <t>Mes</t>
  </si>
  <si>
    <t>Prima Seguro</t>
  </si>
  <si>
    <t>Caso Muerte</t>
  </si>
  <si>
    <t>Gastos</t>
  </si>
  <si>
    <t>Sepelio</t>
  </si>
  <si>
    <t>Intereses</t>
  </si>
  <si>
    <t>Hipotecarios</t>
  </si>
  <si>
    <t>ESCALA DE IMPUESTOS</t>
  </si>
  <si>
    <t>Retención calculada</t>
  </si>
  <si>
    <t>Fecha de devengamiento o de pago (según el método):</t>
  </si>
  <si>
    <t>enero</t>
  </si>
  <si>
    <t>febrero</t>
  </si>
  <si>
    <t>marzo</t>
  </si>
  <si>
    <t>abril</t>
  </si>
  <si>
    <t>mayo</t>
  </si>
  <si>
    <t>junio</t>
  </si>
  <si>
    <t>julio</t>
  </si>
  <si>
    <t>agosto</t>
  </si>
  <si>
    <t>septiembre</t>
  </si>
  <si>
    <t>octubre</t>
  </si>
  <si>
    <t>noviembre</t>
  </si>
  <si>
    <t>diciembre</t>
  </si>
  <si>
    <t>Remuneración Bruta del período</t>
  </si>
  <si>
    <t>Alícuota máxima a considerar</t>
  </si>
  <si>
    <t>Nº de mes:</t>
  </si>
  <si>
    <t>INSTRUCCIONES</t>
  </si>
  <si>
    <t>Tanto las escalas como las deducciones se pueden modificar atento lo dispongan las Resoluciones de la AFIP.</t>
  </si>
  <si>
    <t>Hacer una hoja por empleado, copiando la hoja "Limpia"</t>
  </si>
  <si>
    <t>Es fundamental colocar la fecha de pago (o de devengamiento según el criterio adoptado) para que el sistema tenga en cuenta el mes a considerar.</t>
  </si>
  <si>
    <t>Determinar primero el criterio de cálculo: si es por lo devengado o por lo percibido (lo correcto es por lo percibido, pero en algunas empresas liquidan por lo devengado)</t>
  </si>
  <si>
    <t>Hijo 1</t>
  </si>
  <si>
    <t>Hijo 2</t>
  </si>
  <si>
    <t>Hijo 3</t>
  </si>
  <si>
    <t>Hijo 4</t>
  </si>
  <si>
    <t>Hijo 5</t>
  </si>
  <si>
    <t>Hijo 6</t>
  </si>
  <si>
    <t>Hijo 7</t>
  </si>
  <si>
    <t>Hijo 8</t>
  </si>
  <si>
    <t>Hijo 9</t>
  </si>
  <si>
    <t>Hijo 10</t>
  </si>
  <si>
    <t>Hijo 11</t>
  </si>
  <si>
    <t>Hijo 12</t>
  </si>
  <si>
    <t>Mes alta</t>
  </si>
  <si>
    <t>Mes baja</t>
  </si>
  <si>
    <t>CARGAS DE FAMILIA</t>
  </si>
  <si>
    <t>Se deberá informar el mes de baja sólo si corresponde (fallecimiento, cumplir la edad tope, o dejar de tenerlo como carga)</t>
  </si>
  <si>
    <t>Percepciones sobre Consumos Exterior</t>
  </si>
  <si>
    <t>Retenciones y percepciones efectuadas acumuladas:</t>
  </si>
  <si>
    <t>Para cada familiar deberá cargarse el mes en que debe considerarse como alta en ese año (si ya lo tiene de años anteriores, va 1)</t>
  </si>
  <si>
    <t>informado (anual)</t>
  </si>
  <si>
    <t>Columna Liquidación Final/Anual:</t>
  </si>
  <si>
    <t>Impto. sobre los créditos bancarios deducible</t>
  </si>
  <si>
    <t>Sub-Total</t>
  </si>
  <si>
    <t>Tope de retención a efectuar en el período</t>
  </si>
  <si>
    <t>MINIMO NO IMPONIBLE</t>
  </si>
  <si>
    <t>DEDUCCION ESPECIAL</t>
  </si>
  <si>
    <t>CONYUGE</t>
  </si>
  <si>
    <t>HIJOS</t>
  </si>
  <si>
    <t>En tal caso, en los recibos de sueldos (por fuera de este sistema) deberán poner el monto de la cuota mensual que se vaya devolviendo.</t>
  </si>
  <si>
    <t>El mes 13 se usa para la liquidación final, teniendo en cuenta las Deducciones Personales anuales, es para cálculo interno.</t>
  </si>
  <si>
    <t>Patagonia</t>
  </si>
  <si>
    <t>General</t>
  </si>
  <si>
    <t>Jubilados</t>
  </si>
  <si>
    <t>Zona diferencial</t>
  </si>
  <si>
    <t>Jubilados no especiales</t>
  </si>
  <si>
    <t>A</t>
  </si>
  <si>
    <t>A.1</t>
  </si>
  <si>
    <t>A.2</t>
  </si>
  <si>
    <t>IMPUESTO TOTAL DETERMINADO</t>
  </si>
  <si>
    <t>Impuesto determinado sin diferencial:</t>
  </si>
  <si>
    <t xml:space="preserve"> Descuentos deducibles: Jubilación</t>
  </si>
  <si>
    <t xml:space="preserve"> Descuentos deducibles: Ley 19032</t>
  </si>
  <si>
    <t xml:space="preserve"> Descuentos deducibles: Obra Social</t>
  </si>
  <si>
    <t xml:space="preserve"> Descuentos deducibles: Sindicales</t>
  </si>
  <si>
    <t>Oculta</t>
  </si>
  <si>
    <t>SI</t>
  </si>
  <si>
    <t>NO</t>
  </si>
  <si>
    <t>Rubro</t>
  </si>
  <si>
    <t>SOLO SE DEBEN CARGAR DATOS EN LAS CELDAS SOMBREADAS EN VERDE.</t>
  </si>
  <si>
    <t xml:space="preserve">NO ELIMINAR NI INSERTAR COLUMNAS Y/O FILAS. </t>
  </si>
  <si>
    <t>TOTAL HABERES REMUNERATIVOS</t>
  </si>
  <si>
    <t>Haberes Remunerativos normales (sin tratamiento especial)</t>
  </si>
  <si>
    <t>HABERES REMUNERATIVOS</t>
  </si>
  <si>
    <t>DESCUENTOS SOBRE HABERES REMUNERATIVOS</t>
  </si>
  <si>
    <t>TOTAL DESCUENTOS SOBRE HABERES REMUNERATIVOS</t>
  </si>
  <si>
    <t>HABERES NO REMUNERATIVOS</t>
  </si>
  <si>
    <t>Aguinaldo efectivamente abonado 2º cuota</t>
  </si>
  <si>
    <t>Aguinaldo efectivamente abonado 1º cuota</t>
  </si>
  <si>
    <t>Diferencial entre Hs. extras y ordinarias en feriados,  inhábiles y fines de semana. (Ley Ganancias, art. 20 inc. z)</t>
  </si>
  <si>
    <t>REMUNERACIONES ABONADAS POR EL AGENTE DE RETENCION</t>
  </si>
  <si>
    <t>Tratamiento</t>
  </si>
  <si>
    <t>e</t>
  </si>
  <si>
    <t>a</t>
  </si>
  <si>
    <t>b</t>
  </si>
  <si>
    <t>c</t>
  </si>
  <si>
    <t>Gastos sepelio</t>
  </si>
  <si>
    <t>f</t>
  </si>
  <si>
    <t>g</t>
  </si>
  <si>
    <t>h</t>
  </si>
  <si>
    <t>i</t>
  </si>
  <si>
    <t>j</t>
  </si>
  <si>
    <t>Honorarios medicos 40% de lo pagado con tope 5%</t>
  </si>
  <si>
    <t>k</t>
  </si>
  <si>
    <t>l</t>
  </si>
  <si>
    <t>m</t>
  </si>
  <si>
    <t>n</t>
  </si>
  <si>
    <t>o</t>
  </si>
  <si>
    <t>p</t>
  </si>
  <si>
    <t>q</t>
  </si>
  <si>
    <t>Indumentaria</t>
  </si>
  <si>
    <t>SECTOR DE CARGA DE DATOS</t>
  </si>
  <si>
    <t>Haberes Remunerativos No Habituales</t>
  </si>
  <si>
    <t>A.3</t>
  </si>
  <si>
    <t>TOTAL HABERES NO REMUNERATIVOS</t>
  </si>
  <si>
    <t>REMUNERACIONES ABONADAS POR OTROS EMPLEADORES</t>
  </si>
  <si>
    <t xml:space="preserve"> Descuentos deducibles: Otros Obligatorios</t>
  </si>
  <si>
    <t>A.4</t>
  </si>
  <si>
    <t>A.5</t>
  </si>
  <si>
    <t>A.6</t>
  </si>
  <si>
    <t>DEDUCCIONES PERMITIDAS (INFORMAR ACUMULADAS)</t>
  </si>
  <si>
    <t>Aportes a Planes de seguro privados</t>
  </si>
  <si>
    <t>Gastos de Sepelio</t>
  </si>
  <si>
    <t>Amortizaciones e intereses compra rodados p/corredores y viajante de comercio</t>
  </si>
  <si>
    <t>Intereses de Créditos Hipotecarios</t>
  </si>
  <si>
    <t>Aportes a Soc. Gtia. Recíproca</t>
  </si>
  <si>
    <t>Alquiler de inmuebles destinados a Casa Habitación</t>
  </si>
  <si>
    <t>Empleados del Servicio Doméstico</t>
  </si>
  <si>
    <t>Gastos de adquisición indumentaria y/o equipamiento de trabajo</t>
  </si>
  <si>
    <t>Otras deducciones</t>
  </si>
  <si>
    <t>FueraEscala</t>
  </si>
  <si>
    <t>Haberes No Remunerativos normales (sin tratamiento especial)</t>
  </si>
  <si>
    <t>Haberes No Remunerativos No Habituales</t>
  </si>
  <si>
    <t>RNormal</t>
  </si>
  <si>
    <t>RProrrateable</t>
  </si>
  <si>
    <t>NNormal</t>
  </si>
  <si>
    <t>NProrrateable</t>
  </si>
  <si>
    <t>Aguinaldo</t>
  </si>
  <si>
    <t>Haberes Remunerativos</t>
  </si>
  <si>
    <t>Haberes No Remunerativos</t>
  </si>
  <si>
    <t>Aguinaldo efectivamente abonados</t>
  </si>
  <si>
    <t>Horas extras gravadas (neteado del diferencial)</t>
  </si>
  <si>
    <t>Descuentos proporcionados</t>
  </si>
  <si>
    <t>Meses restantes para el prorrateo</t>
  </si>
  <si>
    <t>Monto del mes prorrateable</t>
  </si>
  <si>
    <t>DEDUCCIONES COMPUTABLES</t>
  </si>
  <si>
    <t>Aportes para Fondos de Jubilaciones destinado a la Anses, Cajas Provinciales o Municipales</t>
  </si>
  <si>
    <t>Observaciones</t>
  </si>
  <si>
    <t>Descuentos con destinos a Obras Sociales y Cuotas Sindidales</t>
  </si>
  <si>
    <t>Cuotas Medicas Asistencial</t>
  </si>
  <si>
    <t>Beneficiario y Cargas de Familia</t>
  </si>
  <si>
    <t>Computo</t>
  </si>
  <si>
    <t>Mensual</t>
  </si>
  <si>
    <t>Tope</t>
  </si>
  <si>
    <t>d.1</t>
  </si>
  <si>
    <t>d.2</t>
  </si>
  <si>
    <t>Primas Seguro Caso de Muerte</t>
  </si>
  <si>
    <t>Primas riesgo de muerte y primas de ahorro, de seguros mixtos, execpto Seguros de Retiro Privado</t>
  </si>
  <si>
    <t>Adquisición de Fdos. Comunes de Inversión que se constituyan con fines de retiro (s/Comisión Nacional de Valores)</t>
  </si>
  <si>
    <t>s/Tabla</t>
  </si>
  <si>
    <t>Para Corredores y Viajantes de Comercio que usen vehículo propio, la amortizaicon vehiculo e intereses dedudas realituvas a adquisición.</t>
  </si>
  <si>
    <t>proporcionar an caso de uso también particular</t>
  </si>
  <si>
    <t>El 40% de alquileres de casa habitación</t>
  </si>
  <si>
    <t>MNI</t>
  </si>
  <si>
    <t>no debe tener inmuebles</t>
  </si>
  <si>
    <t>Descuentos obligatorios  de Leyes Nacionales, Provinciales o Municipales</t>
  </si>
  <si>
    <t>Intereses de Creditos Hipotecarios</t>
  </si>
  <si>
    <t>Aportes al capital SGR</t>
  </si>
  <si>
    <t>Gastos movilidad abonados por el empleador</t>
  </si>
  <si>
    <t>Aportes Planes seguro privado</t>
  </si>
  <si>
    <t>5% de la ganancias antes de considerar donaciones y Honorarios Médicos</t>
  </si>
  <si>
    <t>5% de la ganancia antes de deducir Cuota Medica y Obra Social</t>
  </si>
  <si>
    <t>d.3</t>
  </si>
  <si>
    <t>Punto</t>
  </si>
  <si>
    <t>c/tope</t>
  </si>
  <si>
    <t>TOTAL DEDUCCIONES A CONSIDERAR</t>
  </si>
  <si>
    <t>Conceptos exentos, No remunerativos</t>
  </si>
  <si>
    <t>Conceptos exentos, Remunerativos</t>
  </si>
  <si>
    <t>SUELDO NETO PAGADO POR EL AGENTE DE RETENCION</t>
  </si>
  <si>
    <t>Ganancia Acumulada por Hs. Extras Gravadas</t>
  </si>
  <si>
    <t>Impuesto determinado por Diferencial Hs. Extras</t>
  </si>
  <si>
    <t>GRAVADO</t>
  </si>
  <si>
    <t>EXENTO</t>
  </si>
  <si>
    <t>Columnas a utilizar exclusivamente en la liquidación final o anual</t>
  </si>
  <si>
    <t>SUELDO NETO MENSUAL A CONSIDERAR PARA CALCULO AGUINALDO</t>
  </si>
  <si>
    <t>Aportes a Cajas Complementarias de Previsión</t>
  </si>
  <si>
    <t>CALCULOS - DEDUCCIONES A CONSIDERAR (luego de aplicar los topes)</t>
  </si>
  <si>
    <t xml:space="preserve">Tabla de Deducciones:  </t>
  </si>
  <si>
    <t xml:space="preserve">Puede ocultar filas colocando en la celda corrrespondiente de la columna A la palabra "SI", filtrando por celda A6 </t>
  </si>
  <si>
    <t xml:space="preserve">Se utiliza exclusivamente para la liquidación Anual (en abril del año siguiente) o la Final (por cese de relación laboral). </t>
  </si>
  <si>
    <t>Honorarios Asistencia Sanitarios</t>
  </si>
  <si>
    <t>Cuota Médica Asistencial</t>
  </si>
  <si>
    <t>informado</t>
  </si>
  <si>
    <t>SUELDO NETO PAGADO POR OTROS EMPLEADORES</t>
  </si>
  <si>
    <t>GANANCIA POR HS. EXTRAS GRAVADAS</t>
  </si>
  <si>
    <t>Como las percepciones y el impto. sobre los creditos son hasta la concurrencia del impuesto, por lo que exceda del mismo el empleado deberá solicitar su devolución a la AFIP</t>
  </si>
  <si>
    <t>Fdo. Retiro</t>
  </si>
  <si>
    <t>SUELDO NETO TOTAL</t>
  </si>
  <si>
    <t>Remuneración No Habitual a considerar en el mes</t>
  </si>
  <si>
    <t>SUELDO NETO MENSUAL CON SAC ESTIMADO, TOTAL</t>
  </si>
  <si>
    <t>HS. EXTRAS GRAVADAS ACUMULADAS</t>
  </si>
  <si>
    <t>5% antes de deducir Cuota Médica y Honorarios Médicos</t>
  </si>
  <si>
    <t>P</t>
  </si>
  <si>
    <t>H</t>
  </si>
  <si>
    <t>SUELDO NETO ACUMULADO (INCLUYE HS. EXTRAS GRAVADAS)</t>
  </si>
  <si>
    <t>La planilla está destinada a quien tenga los conocimientos de liquidación de sueldos y de determinación del Impto. a las Ganancias al personal en relación de dependencia.</t>
  </si>
  <si>
    <t>Dada la complejidad de la misma, es recomendable que el cálculo del impuesto sea un procedimiento incorporado en el programa informático que se use para los sueldos.</t>
  </si>
  <si>
    <t>FORMA DE CONSIDERAR EL SAC:</t>
  </si>
  <si>
    <t>en liquidación final/anual</t>
  </si>
  <si>
    <t>en cada pago del SAC</t>
  </si>
  <si>
    <t>FINAL</t>
  </si>
  <si>
    <t>SEMESTRAL</t>
  </si>
  <si>
    <t>SELECCION ----&gt;</t>
  </si>
  <si>
    <t>Aguinaldo a considerar primera cuota</t>
  </si>
  <si>
    <t>Aguinaldo a considerar segunda cuota</t>
  </si>
  <si>
    <t>LOS AGUINALDOS DEBEN IR EN COLUMNA POR SEPARADO DEL SUELDO, y en sólo una columna por semestre</t>
  </si>
  <si>
    <t>Porc.:</t>
  </si>
  <si>
    <t>Discap.</t>
  </si>
  <si>
    <t>X</t>
  </si>
  <si>
    <t>SIN USO</t>
  </si>
  <si>
    <t>Por cada hijo declarado, deberá indicarse el porcentaje de deducción permitida (0, 50 o 100%). Se pone esta opción para el caso de que el empleado tenga hijos de distintas parejas, y deba analizarse el porcentaje dependiendo de la situación de cada una de esas relaciones. Asimismo, en los casos de hijos con discapacidad, poner una "X" en la columna G</t>
  </si>
  <si>
    <t>En los casos en que el Aguinaldo no se encuentre exento, ELEGIR EL METODO DEL CALCULO SOBRE EL AGUINALDO (según lo dispuesto en el Anexo II RG 4003, apartado C), indicándolo en la hoja "Tablas"</t>
  </si>
  <si>
    <t>DATOS PARA LISTAS</t>
  </si>
  <si>
    <t>ANEXO VI</t>
  </si>
  <si>
    <t>Sueldo</t>
  </si>
  <si>
    <t>TIPO DE RETENCIÓN</t>
  </si>
  <si>
    <t>Primer tope</t>
  </si>
  <si>
    <t>Segundo tope</t>
  </si>
  <si>
    <t>Tope aguinaldo</t>
  </si>
  <si>
    <t>Tope productividad</t>
  </si>
  <si>
    <t>Prima de seguro para caso de muerte</t>
  </si>
  <si>
    <t>Primas de riesgo de muerte y ahorro de seguros mixtos</t>
  </si>
  <si>
    <t>Cuotasparte de Fdo. Común de Inversión const. con fines de retiro</t>
  </si>
  <si>
    <t>40% Honorarios Asistencia Sanitario</t>
  </si>
  <si>
    <t>Aportes a Cajas Complementarioas de Previsión</t>
  </si>
  <si>
    <t>40% del Alquiler de inmuebles destinados a Casa Habitación</t>
  </si>
  <si>
    <t xml:space="preserve">Sueldo Promedio o el del mes, el que sea menor (Anexo II, rubro E) </t>
  </si>
  <si>
    <t>proporcionar en funcion de Habituales y no Habituales</t>
  </si>
  <si>
    <t>proporcionar entre Gravadas y exentas</t>
  </si>
  <si>
    <t>Deducción Especial - Tramo 1 - Acumulada mes anterior</t>
  </si>
  <si>
    <t>Deducción Especial - Tramo 2 - Acumulada mes anterior</t>
  </si>
  <si>
    <t>Deducción Especial - Tramo 2 - del mes</t>
  </si>
  <si>
    <t>Deducción Especial - Tramo 1 - del mes</t>
  </si>
  <si>
    <t>Nro. liquidacion</t>
  </si>
  <si>
    <t>Ganancia neta para determinación de escala (sin hs. estras gravadas)</t>
  </si>
  <si>
    <t>Ganancia Neta Total</t>
  </si>
  <si>
    <t>Ganancia Sujeta a Impuesto total</t>
  </si>
  <si>
    <t>Tramo de escala de ganancias</t>
  </si>
  <si>
    <t>SIEMPRE EMPEZAR A CARGAR DATOS MENSUALES A PARTIR DE LA COLUMNA H.  NO DEJAR COLUMNAS SIN DATOS ENTRE DOS USADAS</t>
  </si>
  <si>
    <t>TEMA DEVOLUCIONES EN CUOTAS:</t>
  </si>
  <si>
    <t>se toma el promedio acumulado a cada mes</t>
  </si>
  <si>
    <t>se toma el sueldo del mes. El promedio se considera en la final</t>
  </si>
  <si>
    <t>Bono por productividad, falla de caja, etc</t>
  </si>
  <si>
    <t>TOTALES</t>
  </si>
  <si>
    <t>Ganancia Neta Acumulada (sin considerar horas extras gravadas)</t>
  </si>
  <si>
    <t>CUIL (sin guiones):</t>
  </si>
  <si>
    <t>DT</t>
  </si>
  <si>
    <t>04MNI</t>
  </si>
  <si>
    <t>Sueldo Promedio (sin aguinaldo)</t>
  </si>
  <si>
    <t>Sueldo bruto de la liquidación a considerar</t>
  </si>
  <si>
    <t>Sueldo bruto acumulado del mes (sin aguinaldo)</t>
  </si>
  <si>
    <t>DETERMINACION DEL IMPORTE A RETENER</t>
  </si>
  <si>
    <t>Ganancia Bruta del mes que se liquida</t>
  </si>
  <si>
    <t>Apartado A</t>
  </si>
  <si>
    <t>Retribuciones no habitaules del mes que se liquida</t>
  </si>
  <si>
    <t>Apartado B</t>
  </si>
  <si>
    <t xml:space="preserve">Ganancia Sueldo Avual Complementario </t>
  </si>
  <si>
    <t>Apartado C</t>
  </si>
  <si>
    <t>Deducciones aComputar</t>
  </si>
  <si>
    <t>Apartado D</t>
  </si>
  <si>
    <t>Deducción Sueldo Anual Complementario</t>
  </si>
  <si>
    <t>GANANCIA NETA DEL MES QUE SE LIQUIDA</t>
  </si>
  <si>
    <t>1 + 2 + 3 - 4 - 5</t>
  </si>
  <si>
    <t>Ganancia neta de meses anteriores (dentro del mismo período fiscal)</t>
  </si>
  <si>
    <t>Monto</t>
  </si>
  <si>
    <t>GANANCIA NETA ACUMULADA AL MES QUE SE LIQUIDA</t>
  </si>
  <si>
    <t>6 + 7</t>
  </si>
  <si>
    <t>Deducciones personales acumuladas al mes que se liquida</t>
  </si>
  <si>
    <t>Apartado E</t>
  </si>
  <si>
    <t>Ganancia No Imponible</t>
  </si>
  <si>
    <t>Cargas de familia</t>
  </si>
  <si>
    <t>Deducción especial incrementada 1º parte</t>
  </si>
  <si>
    <t>Deducción especial incrementada 2º parte</t>
  </si>
  <si>
    <t>GANANCIA NETA SUJETA A IMPUESTO</t>
  </si>
  <si>
    <t>8 - suma(9)</t>
  </si>
  <si>
    <t>Impuesto Determinado</t>
  </si>
  <si>
    <t>Apartado F</t>
  </si>
  <si>
    <t>Pagos a cuenta</t>
  </si>
  <si>
    <t>Apartado G</t>
  </si>
  <si>
    <t>retenciones practicadas en meses anteriores en el respectivo período fiscal</t>
  </si>
  <si>
    <t>Apartado H</t>
  </si>
  <si>
    <t>Devoluciones efectuadas al beneficiario</t>
  </si>
  <si>
    <t>Importe a retener en el período</t>
  </si>
  <si>
    <t>11 - 12 - 13 +14</t>
  </si>
  <si>
    <t xml:space="preserve">$ . . . . . . . . . . . . . </t>
  </si>
  <si>
    <t>Se considera ganancia bruta al total de sumas abonadas en cada período mensual (sin deducción alguna), por cualquier concepto</t>
  </si>
  <si>
    <t>Asignaciones familiares</t>
  </si>
  <si>
    <t>Intereses por préstamos al empleador</t>
  </si>
  <si>
    <t>Indemnizaciones por causa de muerte o incapacidad, por accidente o enfermedad</t>
  </si>
  <si>
    <t>d</t>
  </si>
  <si>
    <t>Indemnizaciones por antigüedad</t>
  </si>
  <si>
    <t>Indemnizaciones por acogimiento a retiros voluntarios (sin exceder el monto de indemnizacion por despido)</t>
  </si>
  <si>
    <t>Servicios realizados en Tierra del Fuego, Antártida e Islas del Atlántico Sur (Ley 19.640)</t>
  </si>
  <si>
    <t>Aquellos que tengan tratamiento de exentos conforme a leyes especiales</t>
  </si>
  <si>
    <t>Indemnización por estabilidad y asignación gremial (art. 52 Ley 23.551) y por despido por causa embarazo (Art. 178 LCT)</t>
  </si>
  <si>
    <t>Gratificaciones por cese laboral por mutuo acuerdo (Art. 241 LCT)</t>
  </si>
  <si>
    <t>Diferencia entre valor de las horas extras y el de las horas ordinarias percibidas por días feriados, no laborables, inábiles y fines de semana o de descanso semanal</t>
  </si>
  <si>
    <t>Adicional por material didáctivo abonado al personal docente, con un tope del 40% del MNI</t>
  </si>
  <si>
    <t>Compensación de gastos s/art. 10 Ley 27.555 Teletrabajo</t>
  </si>
  <si>
    <t>NO CONSTITUYEN GANANCIAS INTEGRANTES DE LA BASE DE CALCULO LOS MONTOS ABONADOS POR EL EMPLEADOR EN CONCEPTO DE:</t>
  </si>
  <si>
    <t>Bono por produtividad, fallo de caja o similares, hasta un 40% del MNI, para sueldos inferiores a $ 300.000,01</t>
  </si>
  <si>
    <t>Suplementos particulares s/art. 57 de la Ley 19.101 del personal militar</t>
  </si>
  <si>
    <t>ñ</t>
  </si>
  <si>
    <t>Sueldo Anual complementario, para remunberaciones inferiores a $ 150.000,01</t>
  </si>
  <si>
    <t>r</t>
  </si>
  <si>
    <t>Otorgamiento o pago documentado de cursos o seminarios de capacitación indispensables para el desempeño de tareas</t>
  </si>
  <si>
    <t xml:space="preserve">Reintegro de gastos de guardería, documentados, para hijos(as) o hijastros (as) de hasta tres años de edad, cuando el empleador no cuente con instalaciones a ese fin </t>
  </si>
  <si>
    <t>Provisión de herramientas educativas para hijos(as) o hihastros (as) menores de 18 o incapacitados para el tranajo (inc. g art. 103 bis de la LCT)</t>
  </si>
  <si>
    <t>Otorgamiento o pago documentado de cursos o seminarios de capacitación para hijos(as) o hijastros(as) o incapacitados para el trabajo, hasta el 40% del MNI</t>
  </si>
  <si>
    <t>APARTADO A: GANANCIA BRUTA</t>
  </si>
  <si>
    <t>APARTADO A: REMUNERACIONES NO HABITUALES</t>
  </si>
  <si>
    <t>Plus vacacional, ajuste de haberes de años anteriores, gratificaciones extraordinarias, etc (excepto SAC) deberá ser imputado en forma proporcional al mes de pago y los meses que resten hasta concluir el año fiscal</t>
  </si>
  <si>
    <t>Todos los meses deberán adicionarse a la ganancia bruta del mes (según apartado A) y las retribuciones no habituales previstas en el apartado B, una doceava parte de la suma de tales ganancias en concepto de SAC</t>
  </si>
  <si>
    <t>Asimismo, se detrerán una doceava parte de las deducciones a computar en dicho mes, en concpeto de deducciones del SAC</t>
  </si>
  <si>
    <t>En los meses en que se abonen las cuotas del SAC, el empleador puede optar por:</t>
  </si>
  <si>
    <t>Ajustar el SAC a considerar en cada semestre al valor efectivamente abonado en cada cuota</t>
  </si>
  <si>
    <t>En la Liquidación Anual o Final hacer los ajustes correspndientes.</t>
  </si>
  <si>
    <t>APARTADO C: SUELDO ANUAL COMPLEMENTARIO GRAVADO</t>
  </si>
  <si>
    <t>APARTADO D: DEDUCCIONES</t>
  </si>
  <si>
    <t>Personal de Casas Particulares</t>
  </si>
  <si>
    <t>Aportes a caja en la medida que sea obligatorio para el beneficiario</t>
  </si>
  <si>
    <t>40% MNI. Si es transporte a larga distancia, hasta el MNI</t>
  </si>
  <si>
    <t>APARTADO E: DEDUCCIONES PERSONALES</t>
  </si>
  <si>
    <t>No pueden superar la Ganancia Neta acumulada del mes que se liquida.</t>
  </si>
  <si>
    <t>Jubilados Patagonia</t>
  </si>
  <si>
    <t>Jubilados zona diferencial</t>
  </si>
  <si>
    <t>Porc. deduc.</t>
  </si>
  <si>
    <t>por cada</t>
  </si>
  <si>
    <t>hijo</t>
  </si>
  <si>
    <t>REx01</t>
  </si>
  <si>
    <t>NEx02</t>
  </si>
  <si>
    <t>REx00</t>
  </si>
  <si>
    <t>NEx00</t>
  </si>
  <si>
    <t>NEx03</t>
  </si>
  <si>
    <t>SECTOR DE CALCULOS - No cargar nada en este rubro - RECOMIENDO OCULTAR</t>
  </si>
  <si>
    <t>Bono por productividad, falla de caja, etc - TOTAL DEL MES</t>
  </si>
  <si>
    <t>Material Didáctico Personal Docente</t>
  </si>
  <si>
    <t>Reintegro de gastos cursos P/para hijos.</t>
  </si>
  <si>
    <t>Material Didáctico Personal Docente - Exento</t>
  </si>
  <si>
    <t>Material Didáctico Personal Docente - Gravado</t>
  </si>
  <si>
    <t>Reintegro de gastos cursos P/para hijos - Exento</t>
  </si>
  <si>
    <t>Reintegro de gastos cursos P/para hijos - Gravado</t>
  </si>
  <si>
    <t>Movilidad y Viáticos</t>
  </si>
  <si>
    <t>Bono por productividad, falla de caja, etc - Exento del mes</t>
  </si>
  <si>
    <t>Bono por productividad, falla de caja, etc - Gravado del mes</t>
  </si>
  <si>
    <t>El sistema permite SÓLO 14 liquidaciones (UNA POR MES Y LAS DOS CUOTAS DE AGUINALDO) en el año más una liquidación final</t>
  </si>
  <si>
    <t>RETENCIONES / DEVOLUCIONES EFECTUADAS EN EL MES</t>
  </si>
  <si>
    <t>Retención/Devolución total a efectuar en el mes:</t>
  </si>
  <si>
    <t xml:space="preserve">Otros Haberes Remunerativos no alcanzados en Ganancias </t>
  </si>
  <si>
    <t>Reintegro de gastos cursos p/para hijos.</t>
  </si>
  <si>
    <t>REx02</t>
  </si>
  <si>
    <t>NEx04</t>
  </si>
  <si>
    <t>Otros conceptos exentos, sin topes</t>
  </si>
  <si>
    <t>Movilidad y Viáticos (Remunerativos)</t>
  </si>
  <si>
    <t>Movilidad y Viáticos (No Remunerativos)</t>
  </si>
  <si>
    <t>Movilidad y Viáticos - Exento No remunerativo</t>
  </si>
  <si>
    <t>Movilidad y Viáticos - Exento Remunerativo</t>
  </si>
  <si>
    <t>Movilidad y Viáticos - Gravado Remunerativo</t>
  </si>
  <si>
    <t>Movilidad y Viáticos - Gravado No Remunerativo</t>
  </si>
  <si>
    <t>Cuotas Partes Fdo. Comun Inversion</t>
  </si>
  <si>
    <t>MONTO TOTAL REALMENTE RETENIDO / DEVUELTO (Positivo / Negativo) EN EL MES</t>
  </si>
  <si>
    <t>En los casos en que haya más de una liquidación por mes, sumar los datos en la misma columna .</t>
  </si>
  <si>
    <t>Usar las filas que dicen "Retenciones / Devoluciones efectuadas en el mes " para cargar los efectivamente retenido o devuelto en cada mes. Si se hacen varias liquidaciones en el mismo mes, aconsejo poner los montos en distintos renglones.</t>
  </si>
  <si>
    <t>EL SISTEMA NO TIENE PREVISTO EL PAGO DE MÁS DE DOS AGUINALDOS AL AÑO. En el caso de que haya pagos por ajustes de aguinaldo, analicen en cada caso dónde poner esos montos adicionales, y en tal caso no usar el renglón de aguinaldo)</t>
  </si>
  <si>
    <t>Recordar que en los casos de los conceptos no habituales, si los mismos no superan el 20% de la remuneración habitaula del empleado, el empleador puede optar de considerarlos en el cálculo como "Habituales". En tal caso in formarlos como remuneraciones habituales.</t>
  </si>
  <si>
    <t>En este caso se consideran las Deducciones Personales a pleno, y se deben cargar el 40% los Honorarios Médicos abonados en el año, las percepciones sufridas por compras en el exterior o viajes, y el impuesto sobre los movimientos bancarios.</t>
  </si>
  <si>
    <t>Si por alguna razón se establece que una devolución de retenciones se haga en cuotas, en la liquidación donde se produzca dicha determinación, en esta planilla hay que informar el total de devolución a efectuar (como si se devolviera todo en una sola vez).</t>
  </si>
  <si>
    <t>Ante probables errores en el diseño de la presente, favor de enviar mail a "r_m_santoro@hotmail.com". En este caso, junto las observaciones y analizo las correcciones a realizar.</t>
  </si>
  <si>
    <t>Este libro se compone 4 hojas para estimar retenciones de ganancias 4ta categorìa para empleados en relación de dependencia 2021</t>
  </si>
  <si>
    <t>No es responsabilidad del autor los resultados obtenidos con la aplicación. Cada liquidación tiene su particularidad.  Para realizar una correcta liquidación se recomienda consulte a un Contador Público Matriculado.</t>
  </si>
  <si>
    <t>Créditos</t>
  </si>
  <si>
    <t>Autor: Rubén Santoro</t>
  </si>
  <si>
    <t>Publicado por www.ignacioonline.com.ar</t>
  </si>
  <si>
    <t>Planilla Retenciones Ganancias cuarta Categoría en Relaación de dependencia 2021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</si>
</sst>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 * #,##0.00_ ;_ * \-#,##0.00_ ;_ * &quot;-&quot;??_ ;_ @_ "/>
    <numFmt numFmtId="167" formatCode="#,##0_ ;\-#,##0\ "/>
  </numFmts>
  <fonts count="28" x14ac:knownFonts="1">
    <font>
      <sz val="10"/>
      <name val="Times New Roman"/>
    </font>
    <font>
      <b/>
      <sz val="10"/>
      <name val="Times New Roman"/>
      <family val="1"/>
    </font>
    <font>
      <sz val="10"/>
      <name val="Times New Roman"/>
      <family val="1"/>
    </font>
    <font>
      <b/>
      <sz val="10"/>
      <name val="Times New Roman"/>
      <family val="1"/>
    </font>
    <font>
      <sz val="10"/>
      <name val="Times New Roman"/>
      <family val="1"/>
    </font>
    <font>
      <sz val="8"/>
      <color indexed="81"/>
      <name val="Tahoma"/>
      <family val="2"/>
    </font>
    <font>
      <sz val="14"/>
      <color indexed="81"/>
      <name val="Tahoma"/>
      <family val="2"/>
    </font>
    <font>
      <b/>
      <sz val="14"/>
      <color indexed="81"/>
      <name val="Tahoma"/>
      <family val="2"/>
    </font>
    <font>
      <sz val="10"/>
      <color indexed="9"/>
      <name val="Times New Roman"/>
      <family val="1"/>
    </font>
    <font>
      <sz val="10"/>
      <color indexed="10"/>
      <name val="Times New Roman"/>
      <family val="1"/>
    </font>
    <font>
      <sz val="8"/>
      <name val="Times New Roman"/>
      <family val="1"/>
    </font>
    <font>
      <b/>
      <sz val="8"/>
      <color indexed="81"/>
      <name val="Tahoma"/>
      <family val="2"/>
    </font>
    <font>
      <b/>
      <sz val="10"/>
      <color indexed="81"/>
      <name val="Tahoma"/>
      <family val="2"/>
    </font>
    <font>
      <sz val="8"/>
      <name val="Times New Roman"/>
      <family val="1"/>
    </font>
    <font>
      <sz val="10"/>
      <color theme="0"/>
      <name val="Times New Roman"/>
      <family val="1"/>
    </font>
    <font>
      <sz val="9"/>
      <color indexed="81"/>
      <name val="Tahoma"/>
      <family val="2"/>
    </font>
    <font>
      <b/>
      <sz val="9"/>
      <color indexed="81"/>
      <name val="Tahoma"/>
      <family val="2"/>
    </font>
    <font>
      <u/>
      <sz val="10"/>
      <color theme="10"/>
      <name val="Times New Roman"/>
    </font>
    <font>
      <b/>
      <sz val="12"/>
      <color theme="7" tint="-0.499984740745262"/>
      <name val="Calibri"/>
      <family val="2"/>
      <scheme val="minor"/>
    </font>
    <font>
      <sz val="10"/>
      <name val="Calibri"/>
      <family val="2"/>
      <scheme val="minor"/>
    </font>
    <font>
      <sz val="12"/>
      <name val="Calibri"/>
      <family val="2"/>
      <scheme val="minor"/>
    </font>
    <font>
      <sz val="11"/>
      <name val="Calibri"/>
      <family val="2"/>
      <scheme val="minor"/>
    </font>
    <font>
      <sz val="10"/>
      <color theme="7" tint="-0.499984740745262"/>
      <name val="Times New Roman"/>
      <family val="1"/>
    </font>
    <font>
      <sz val="10"/>
      <color theme="7" tint="-0.499984740745262"/>
      <name val="Calibri"/>
      <family val="2"/>
      <scheme val="minor"/>
    </font>
    <font>
      <b/>
      <u/>
      <sz val="11"/>
      <color theme="7" tint="-0.499984740745262"/>
      <name val="Calibri"/>
      <family val="2"/>
      <scheme val="minor"/>
    </font>
    <font>
      <sz val="11"/>
      <color theme="7" tint="-0.499984740745262"/>
      <name val="Calibri"/>
      <family val="2"/>
      <scheme val="minor"/>
    </font>
    <font>
      <b/>
      <sz val="11"/>
      <color theme="7" tint="-0.499984740745262"/>
      <name val="Calibri"/>
      <family val="2"/>
      <scheme val="minor"/>
    </font>
    <font>
      <u/>
      <sz val="10"/>
      <color theme="7" tint="-0.499984740745262"/>
      <name val="Times New Roman"/>
      <family val="1"/>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gray0625"/>
    </fill>
    <fill>
      <patternFill patternType="solid">
        <fgColor theme="6" tint="0.599963377788628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4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2" fillId="0" borderId="0"/>
    <xf numFmtId="0" fontId="17" fillId="0" borderId="0" applyNumberFormat="0" applyFill="0" applyBorder="0" applyAlignment="0" applyProtection="0"/>
  </cellStyleXfs>
  <cellXfs count="373">
    <xf numFmtId="0" fontId="0" fillId="0" borderId="0" xfId="0"/>
    <xf numFmtId="39" fontId="0" fillId="0" borderId="0" xfId="0" applyNumberFormat="1"/>
    <xf numFmtId="4" fontId="0" fillId="0" borderId="0" xfId="0" applyNumberFormat="1"/>
    <xf numFmtId="0" fontId="0" fillId="0" borderId="0" xfId="0" applyFill="1"/>
    <xf numFmtId="0" fontId="4" fillId="0" borderId="0" xfId="0" applyFont="1"/>
    <xf numFmtId="0" fontId="0" fillId="0" borderId="0" xfId="0" applyFill="1" applyBorder="1"/>
    <xf numFmtId="0" fontId="3" fillId="0" borderId="0" xfId="0" applyFont="1"/>
    <xf numFmtId="0" fontId="0" fillId="0" borderId="0" xfId="0" quotePrefix="1"/>
    <xf numFmtId="0" fontId="0" fillId="0" borderId="4" xfId="0" applyBorder="1" applyProtection="1"/>
    <xf numFmtId="4" fontId="0" fillId="0" borderId="1" xfId="0" applyNumberFormat="1" applyBorder="1" applyProtection="1">
      <protection locked="0"/>
    </xf>
    <xf numFmtId="39" fontId="0" fillId="0" borderId="3" xfId="0" applyNumberFormat="1" applyBorder="1" applyProtection="1">
      <protection locked="0"/>
    </xf>
    <xf numFmtId="4" fontId="0" fillId="0" borderId="8" xfId="0" applyNumberFormat="1" applyBorder="1" applyProtection="1">
      <protection locked="0"/>
    </xf>
    <xf numFmtId="39" fontId="0" fillId="0" borderId="10" xfId="0" applyNumberFormat="1" applyBorder="1" applyProtection="1">
      <protection locked="0"/>
    </xf>
    <xf numFmtId="4" fontId="0" fillId="0" borderId="0" xfId="0" applyNumberFormat="1" applyProtection="1">
      <protection locked="0"/>
    </xf>
    <xf numFmtId="0" fontId="0" fillId="0" borderId="0" xfId="0" applyAlignment="1" applyProtection="1">
      <alignment horizontal="center"/>
    </xf>
    <xf numFmtId="4" fontId="0" fillId="0" borderId="0" xfId="0" applyNumberFormat="1" applyProtection="1"/>
    <xf numFmtId="0" fontId="0" fillId="0" borderId="2" xfId="0" applyFill="1" applyBorder="1" applyAlignment="1" applyProtection="1">
      <alignment horizontal="center"/>
    </xf>
    <xf numFmtId="166" fontId="0" fillId="0" borderId="4" xfId="0" applyNumberFormat="1" applyFill="1" applyBorder="1" applyProtection="1"/>
    <xf numFmtId="166" fontId="0" fillId="0" borderId="4" xfId="0" applyNumberFormat="1" applyFill="1" applyBorder="1" applyAlignment="1" applyProtection="1">
      <alignment horizontal="center"/>
    </xf>
    <xf numFmtId="4" fontId="0" fillId="0" borderId="0" xfId="0" applyNumberFormat="1" applyFill="1" applyBorder="1" applyProtection="1">
      <protection locked="0"/>
    </xf>
    <xf numFmtId="4" fontId="0" fillId="0" borderId="0" xfId="0" applyNumberFormat="1" applyBorder="1" applyProtection="1">
      <protection locked="0"/>
    </xf>
    <xf numFmtId="0" fontId="0" fillId="0" borderId="0" xfId="0" applyFill="1" applyBorder="1" applyAlignment="1" applyProtection="1">
      <alignment horizontal="center"/>
    </xf>
    <xf numFmtId="0" fontId="0" fillId="0" borderId="0" xfId="0" applyProtection="1"/>
    <xf numFmtId="0" fontId="2" fillId="0" borderId="0" xfId="0" applyFont="1" applyProtection="1"/>
    <xf numFmtId="9" fontId="2" fillId="0" borderId="0" xfId="0" applyNumberFormat="1" applyFont="1" applyProtection="1"/>
    <xf numFmtId="0" fontId="1" fillId="0" borderId="0" xfId="0" applyFont="1" applyProtection="1"/>
    <xf numFmtId="0" fontId="13" fillId="0" borderId="0" xfId="0" applyFont="1" applyAlignment="1" applyProtection="1">
      <alignment horizontal="center" vertical="center" wrapText="1"/>
    </xf>
    <xf numFmtId="0" fontId="4" fillId="0" borderId="0" xfId="0" applyFont="1" applyBorder="1" applyProtection="1"/>
    <xf numFmtId="0" fontId="0" fillId="0" borderId="4" xfId="0" applyFill="1" applyBorder="1" applyAlignment="1" applyProtection="1">
      <alignment horizontal="center"/>
    </xf>
    <xf numFmtId="0" fontId="0" fillId="0" borderId="0" xfId="0" applyFill="1" applyProtection="1"/>
    <xf numFmtId="0" fontId="4" fillId="0" borderId="0" xfId="0" applyFont="1" applyFill="1" applyProtection="1"/>
    <xf numFmtId="0" fontId="4" fillId="0" borderId="4" xfId="0" applyFont="1" applyBorder="1" applyProtection="1"/>
    <xf numFmtId="0" fontId="4" fillId="0" borderId="13" xfId="0" quotePrefix="1" applyFont="1" applyFill="1" applyBorder="1" applyAlignment="1" applyProtection="1">
      <alignment horizontal="left"/>
    </xf>
    <xf numFmtId="4" fontId="0" fillId="0" borderId="13" xfId="0" applyNumberFormat="1" applyFill="1" applyBorder="1" applyProtection="1"/>
    <xf numFmtId="0" fontId="4" fillId="0" borderId="4" xfId="0" quotePrefix="1" applyFont="1" applyBorder="1" applyAlignment="1" applyProtection="1">
      <alignment horizontal="left"/>
    </xf>
    <xf numFmtId="0" fontId="4" fillId="0" borderId="4" xfId="0" applyFont="1" applyFill="1" applyBorder="1" applyAlignment="1" applyProtection="1">
      <alignment horizontal="left"/>
    </xf>
    <xf numFmtId="0" fontId="4" fillId="0" borderId="0" xfId="0" applyFont="1" applyProtection="1"/>
    <xf numFmtId="166" fontId="0" fillId="0" borderId="4" xfId="0" applyNumberFormat="1" applyFill="1" applyBorder="1" applyAlignment="1" applyProtection="1">
      <alignment horizontal="right"/>
    </xf>
    <xf numFmtId="0" fontId="4" fillId="0" borderId="19" xfId="0" applyFont="1" applyFill="1" applyBorder="1" applyProtection="1"/>
    <xf numFmtId="0" fontId="4" fillId="0" borderId="19" xfId="0" applyFont="1" applyFill="1" applyBorder="1" applyAlignment="1" applyProtection="1">
      <alignment horizontal="center"/>
    </xf>
    <xf numFmtId="4" fontId="0" fillId="0" borderId="0" xfId="0" applyNumberFormat="1" applyFill="1" applyBorder="1" applyProtection="1"/>
    <xf numFmtId="166" fontId="3" fillId="0" borderId="4" xfId="0" applyNumberFormat="1" applyFont="1" applyFill="1" applyBorder="1" applyProtection="1"/>
    <xf numFmtId="166" fontId="3" fillId="0" borderId="20" xfId="0" applyNumberFormat="1" applyFont="1" applyFill="1" applyBorder="1" applyProtection="1"/>
    <xf numFmtId="0" fontId="0" fillId="0" borderId="0" xfId="0" applyBorder="1" applyProtection="1"/>
    <xf numFmtId="0" fontId="1" fillId="0" borderId="20" xfId="0" applyFont="1" applyBorder="1" applyAlignment="1" applyProtection="1">
      <alignment horizontal="left"/>
    </xf>
    <xf numFmtId="0" fontId="4" fillId="0" borderId="14" xfId="0" applyFont="1" applyBorder="1" applyProtection="1"/>
    <xf numFmtId="39" fontId="0" fillId="0" borderId="20" xfId="0" applyNumberFormat="1" applyFill="1" applyBorder="1" applyProtection="1"/>
    <xf numFmtId="166" fontId="0" fillId="0" borderId="20" xfId="0" applyNumberFormat="1" applyFill="1" applyBorder="1" applyProtection="1"/>
    <xf numFmtId="0" fontId="3" fillId="0" borderId="0" xfId="0" applyFont="1" applyFill="1" applyAlignment="1" applyProtection="1">
      <alignment horizontal="center"/>
    </xf>
    <xf numFmtId="4" fontId="0" fillId="0" borderId="0" xfId="0" applyNumberFormat="1" applyFill="1" applyProtection="1"/>
    <xf numFmtId="0" fontId="3" fillId="0" borderId="0" xfId="0" applyFont="1" applyFill="1" applyBorder="1" applyAlignment="1" applyProtection="1">
      <alignment horizontal="center"/>
    </xf>
    <xf numFmtId="0" fontId="3" fillId="0" borderId="2" xfId="0" applyFont="1" applyFill="1" applyBorder="1" applyAlignment="1" applyProtection="1">
      <alignment horizontal="center"/>
    </xf>
    <xf numFmtId="0" fontId="4" fillId="0" borderId="4" xfId="0" applyFont="1" applyFill="1" applyBorder="1" applyProtection="1"/>
    <xf numFmtId="0" fontId="0" fillId="0" borderId="4" xfId="0" applyFill="1" applyBorder="1" applyProtection="1"/>
    <xf numFmtId="166" fontId="0" fillId="0" borderId="11" xfId="0" applyNumberFormat="1" applyFill="1" applyBorder="1" applyProtection="1"/>
    <xf numFmtId="0" fontId="0" fillId="0" borderId="19" xfId="0" applyFill="1" applyBorder="1" applyProtection="1"/>
    <xf numFmtId="0" fontId="1" fillId="3" borderId="4" xfId="0" applyFont="1" applyFill="1" applyBorder="1" applyProtection="1"/>
    <xf numFmtId="39" fontId="0" fillId="0" borderId="0" xfId="0" applyNumberFormat="1" applyFill="1" applyProtection="1"/>
    <xf numFmtId="0" fontId="4" fillId="0" borderId="0" xfId="0" applyFont="1" applyAlignment="1" applyProtection="1">
      <alignment horizontal="center"/>
    </xf>
    <xf numFmtId="39" fontId="0" fillId="0" borderId="0" xfId="0" applyNumberFormat="1" applyProtection="1"/>
    <xf numFmtId="0" fontId="2" fillId="0" borderId="4" xfId="0" applyFont="1" applyBorder="1" applyAlignment="1" applyProtection="1">
      <alignment horizontal="left"/>
    </xf>
    <xf numFmtId="0" fontId="2" fillId="0" borderId="4" xfId="0" applyFont="1" applyFill="1" applyBorder="1" applyAlignment="1" applyProtection="1">
      <alignment horizontal="left"/>
    </xf>
    <xf numFmtId="0" fontId="2" fillId="0" borderId="4" xfId="0" applyFont="1" applyBorder="1" applyProtection="1"/>
    <xf numFmtId="0" fontId="1" fillId="0" borderId="0" xfId="0" applyFont="1" applyBorder="1" applyAlignment="1" applyProtection="1">
      <alignment horizontal="center"/>
    </xf>
    <xf numFmtId="0" fontId="0" fillId="0" borderId="4" xfId="0" applyBorder="1"/>
    <xf numFmtId="166" fontId="1" fillId="0" borderId="4" xfId="0" applyNumberFormat="1" applyFont="1" applyFill="1" applyBorder="1" applyProtection="1"/>
    <xf numFmtId="0" fontId="1" fillId="0" borderId="19" xfId="0" applyFont="1" applyBorder="1" applyProtection="1"/>
    <xf numFmtId="0" fontId="2" fillId="0" borderId="14" xfId="0" applyFont="1" applyBorder="1" applyProtection="1"/>
    <xf numFmtId="0" fontId="1" fillId="0" borderId="14" xfId="0" applyFont="1" applyBorder="1" applyProtection="1"/>
    <xf numFmtId="0" fontId="2" fillId="0" borderId="20" xfId="0" applyFont="1" applyBorder="1" applyAlignment="1" applyProtection="1">
      <alignment horizontal="left"/>
    </xf>
    <xf numFmtId="0" fontId="1" fillId="0" borderId="13" xfId="0" applyFont="1" applyBorder="1" applyProtection="1"/>
    <xf numFmtId="0" fontId="2" fillId="0" borderId="0" xfId="0" applyFont="1"/>
    <xf numFmtId="0" fontId="4" fillId="0" borderId="0" xfId="0" applyFont="1" applyFill="1" applyBorder="1" applyProtection="1"/>
    <xf numFmtId="14" fontId="0" fillId="0" borderId="0" xfId="0" applyNumberFormat="1" applyFill="1" applyBorder="1" applyAlignment="1" applyProtection="1">
      <alignment horizontal="center"/>
    </xf>
    <xf numFmtId="10" fontId="0" fillId="0" borderId="0" xfId="0" applyNumberFormat="1" applyFill="1" applyBorder="1" applyAlignment="1" applyProtection="1">
      <alignment horizontal="center"/>
    </xf>
    <xf numFmtId="0" fontId="2" fillId="0" borderId="10" xfId="0" applyFont="1" applyBorder="1" applyProtection="1"/>
    <xf numFmtId="0" fontId="2" fillId="0" borderId="19" xfId="0" applyFont="1" applyBorder="1" applyProtection="1"/>
    <xf numFmtId="0" fontId="2" fillId="0" borderId="19" xfId="0" applyFont="1" applyBorder="1" applyAlignment="1" applyProtection="1">
      <alignment horizontal="left"/>
    </xf>
    <xf numFmtId="167" fontId="0" fillId="0" borderId="4" xfId="0" applyNumberFormat="1" applyFill="1" applyBorder="1" applyAlignment="1" applyProtection="1">
      <alignment horizontal="center"/>
    </xf>
    <xf numFmtId="0" fontId="0" fillId="0" borderId="0" xfId="0" applyAlignment="1">
      <alignment wrapText="1"/>
    </xf>
    <xf numFmtId="0" fontId="2" fillId="0" borderId="4" xfId="0" applyFont="1" applyBorder="1"/>
    <xf numFmtId="0" fontId="2" fillId="0" borderId="4" xfId="0" applyFont="1" applyBorder="1" applyAlignment="1">
      <alignment wrapText="1"/>
    </xf>
    <xf numFmtId="0" fontId="0" fillId="0" borderId="4" xfId="0" applyBorder="1" applyAlignment="1">
      <alignment wrapText="1"/>
    </xf>
    <xf numFmtId="0" fontId="2" fillId="0" borderId="4" xfId="0" applyFont="1" applyBorder="1" applyAlignment="1">
      <alignment vertical="center"/>
    </xf>
    <xf numFmtId="0" fontId="2" fillId="0" borderId="4" xfId="0" applyFont="1" applyBorder="1" applyAlignment="1">
      <alignment vertical="center" wrapText="1"/>
    </xf>
    <xf numFmtId="0" fontId="0" fillId="0" borderId="4" xfId="0" applyBorder="1" applyAlignment="1">
      <alignment vertical="center" wrapText="1"/>
    </xf>
    <xf numFmtId="0" fontId="2" fillId="0" borderId="4" xfId="0" applyFont="1" applyFill="1" applyBorder="1" applyAlignment="1">
      <alignment vertical="center"/>
    </xf>
    <xf numFmtId="9" fontId="0" fillId="0" borderId="4" xfId="0" applyNumberFormat="1" applyBorder="1" applyAlignment="1">
      <alignment vertical="center" wrapText="1"/>
    </xf>
    <xf numFmtId="9" fontId="2" fillId="0" borderId="4" xfId="0" applyNumberFormat="1" applyFont="1" applyBorder="1" applyAlignment="1">
      <alignment vertical="center" wrapText="1"/>
    </xf>
    <xf numFmtId="166" fontId="0" fillId="0" borderId="0" xfId="0" applyNumberFormat="1" applyFill="1" applyBorder="1" applyProtection="1"/>
    <xf numFmtId="166" fontId="0" fillId="0" borderId="13" xfId="0" applyNumberFormat="1" applyFill="1" applyBorder="1" applyProtection="1"/>
    <xf numFmtId="0" fontId="1" fillId="0" borderId="11" xfId="0" applyFont="1" applyBorder="1" applyProtection="1"/>
    <xf numFmtId="39" fontId="0" fillId="0" borderId="11" xfId="0" applyNumberFormat="1" applyFill="1" applyBorder="1" applyProtection="1"/>
    <xf numFmtId="0" fontId="0" fillId="0" borderId="13" xfId="0" applyBorder="1" applyProtection="1"/>
    <xf numFmtId="39" fontId="0" fillId="0" borderId="13" xfId="0" applyNumberFormat="1" applyFill="1" applyBorder="1" applyProtection="1"/>
    <xf numFmtId="0" fontId="2" fillId="0" borderId="19" xfId="0" applyFont="1" applyFill="1" applyBorder="1" applyAlignment="1" applyProtection="1">
      <alignment horizontal="left"/>
    </xf>
    <xf numFmtId="166" fontId="1" fillId="0" borderId="20" xfId="0" applyNumberFormat="1" applyFont="1" applyFill="1" applyBorder="1" applyProtection="1"/>
    <xf numFmtId="0" fontId="4" fillId="0" borderId="19" xfId="0" applyFont="1" applyFill="1" applyBorder="1" applyAlignment="1" applyProtection="1">
      <alignment horizontal="left"/>
    </xf>
    <xf numFmtId="0" fontId="0" fillId="0" borderId="0" xfId="0" applyBorder="1" applyAlignment="1" applyProtection="1">
      <alignment horizontal="center"/>
    </xf>
    <xf numFmtId="0" fontId="2" fillId="0" borderId="4" xfId="0" applyFont="1" applyFill="1" applyBorder="1" applyProtection="1"/>
    <xf numFmtId="0" fontId="2" fillId="0" borderId="0" xfId="0" applyFont="1" applyFill="1" applyProtection="1"/>
    <xf numFmtId="166" fontId="0" fillId="0" borderId="0" xfId="0" applyNumberFormat="1" applyProtection="1"/>
    <xf numFmtId="0" fontId="0" fillId="0" borderId="0" xfId="0" applyFont="1" applyFill="1" applyProtection="1"/>
    <xf numFmtId="166" fontId="0" fillId="6" borderId="1" xfId="0" applyNumberFormat="1" applyFill="1" applyBorder="1" applyProtection="1"/>
    <xf numFmtId="166" fontId="0" fillId="6" borderId="0" xfId="0" applyNumberFormat="1" applyFill="1" applyBorder="1" applyProtection="1"/>
    <xf numFmtId="166" fontId="0" fillId="6" borderId="8" xfId="0" applyNumberFormat="1" applyFill="1" applyBorder="1" applyProtection="1"/>
    <xf numFmtId="166" fontId="0" fillId="6" borderId="13" xfId="0" applyNumberFormat="1" applyFill="1" applyBorder="1" applyProtection="1"/>
    <xf numFmtId="166" fontId="0" fillId="6" borderId="19" xfId="0" applyNumberFormat="1" applyFill="1" applyBorder="1" applyProtection="1"/>
    <xf numFmtId="166" fontId="0" fillId="6" borderId="20" xfId="0" applyNumberFormat="1" applyFill="1" applyBorder="1" applyProtection="1"/>
    <xf numFmtId="166" fontId="9" fillId="6" borderId="11" xfId="0" applyNumberFormat="1" applyFont="1" applyFill="1" applyBorder="1" applyProtection="1"/>
    <xf numFmtId="166" fontId="9" fillId="6" borderId="0" xfId="0" applyNumberFormat="1" applyFont="1" applyFill="1" applyBorder="1" applyProtection="1"/>
    <xf numFmtId="166" fontId="9" fillId="6" borderId="13" xfId="0" applyNumberFormat="1" applyFont="1" applyFill="1" applyBorder="1" applyProtection="1"/>
    <xf numFmtId="0" fontId="14" fillId="0" borderId="0" xfId="0" applyFont="1" applyFill="1" applyProtection="1"/>
    <xf numFmtId="166" fontId="0" fillId="6" borderId="21" xfId="0" applyNumberFormat="1" applyFill="1" applyBorder="1" applyProtection="1"/>
    <xf numFmtId="166" fontId="0" fillId="6" borderId="11" xfId="0" applyNumberFormat="1" applyFill="1" applyBorder="1" applyProtection="1"/>
    <xf numFmtId="14" fontId="0" fillId="7" borderId="4" xfId="0" applyNumberFormat="1" applyFill="1" applyBorder="1" applyAlignment="1" applyProtection="1">
      <alignment horizontal="center"/>
      <protection locked="0"/>
    </xf>
    <xf numFmtId="166" fontId="2" fillId="8" borderId="4" xfId="0" applyNumberFormat="1" applyFont="1" applyFill="1" applyBorder="1" applyProtection="1">
      <protection locked="0"/>
    </xf>
    <xf numFmtId="166" fontId="0" fillId="8" borderId="4" xfId="0" applyNumberFormat="1" applyFill="1" applyBorder="1" applyProtection="1">
      <protection locked="0"/>
    </xf>
    <xf numFmtId="0" fontId="4" fillId="0" borderId="8" xfId="0" quotePrefix="1" applyFont="1" applyFill="1" applyBorder="1" applyAlignment="1" applyProtection="1">
      <alignment horizontal="left"/>
    </xf>
    <xf numFmtId="0" fontId="4" fillId="8" borderId="15" xfId="0" applyFont="1" applyFill="1" applyBorder="1" applyAlignment="1" applyProtection="1">
      <alignment horizontal="center"/>
      <protection locked="0"/>
    </xf>
    <xf numFmtId="0" fontId="4" fillId="8" borderId="16" xfId="0" applyFont="1" applyFill="1" applyBorder="1" applyAlignment="1" applyProtection="1">
      <alignment horizontal="center"/>
      <protection locked="0"/>
    </xf>
    <xf numFmtId="0" fontId="4" fillId="8" borderId="17" xfId="0" applyFont="1" applyFill="1" applyBorder="1" applyAlignment="1" applyProtection="1">
      <alignment horizontal="center"/>
      <protection locked="0"/>
    </xf>
    <xf numFmtId="0" fontId="4" fillId="8" borderId="18" xfId="0" applyFont="1" applyFill="1" applyBorder="1" applyAlignment="1" applyProtection="1">
      <alignment horizontal="center"/>
      <protection locked="0"/>
    </xf>
    <xf numFmtId="0" fontId="4" fillId="8" borderId="4"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2" fillId="8" borderId="5" xfId="0" applyFont="1" applyFill="1" applyBorder="1" applyAlignment="1" applyProtection="1">
      <alignment horizontal="center"/>
      <protection locked="0"/>
    </xf>
    <xf numFmtId="0" fontId="2" fillId="8" borderId="6" xfId="0" applyFont="1" applyFill="1" applyBorder="1" applyAlignment="1" applyProtection="1">
      <alignment horizontal="center"/>
      <protection locked="0"/>
    </xf>
    <xf numFmtId="0" fontId="2" fillId="8" borderId="7" xfId="0" applyFont="1" applyFill="1" applyBorder="1" applyAlignment="1" applyProtection="1">
      <alignment horizontal="center"/>
      <protection locked="0"/>
    </xf>
    <xf numFmtId="0" fontId="1" fillId="0" borderId="0" xfId="0" applyFont="1" applyAlignment="1" applyProtection="1">
      <alignment vertical="center"/>
    </xf>
    <xf numFmtId="0" fontId="1" fillId="0" borderId="0" xfId="0" applyFont="1"/>
    <xf numFmtId="0" fontId="1" fillId="0" borderId="0" xfId="0" applyFont="1" applyFill="1" applyBorder="1"/>
    <xf numFmtId="0" fontId="2" fillId="0" borderId="0" xfId="0" applyFont="1" applyFill="1"/>
    <xf numFmtId="10" fontId="2" fillId="0" borderId="22" xfId="0" applyNumberFormat="1" applyFont="1" applyFill="1" applyBorder="1" applyAlignment="1" applyProtection="1">
      <alignment horizontal="center"/>
    </xf>
    <xf numFmtId="10" fontId="0" fillId="0" borderId="26" xfId="0" applyNumberFormat="1" applyFill="1" applyBorder="1" applyAlignment="1" applyProtection="1">
      <alignment horizontal="center"/>
    </xf>
    <xf numFmtId="0" fontId="0" fillId="0" borderId="27" xfId="0" applyFill="1" applyBorder="1" applyProtection="1"/>
    <xf numFmtId="14" fontId="0" fillId="0" borderId="26" xfId="0" applyNumberFormat="1" applyFill="1" applyBorder="1" applyAlignment="1" applyProtection="1">
      <alignment horizontal="center"/>
    </xf>
    <xf numFmtId="4" fontId="0" fillId="0" borderId="28" xfId="0" applyNumberFormat="1" applyFill="1" applyBorder="1" applyProtection="1"/>
    <xf numFmtId="166" fontId="0" fillId="0" borderId="22" xfId="0" applyNumberFormat="1" applyFill="1" applyBorder="1" applyProtection="1"/>
    <xf numFmtId="166" fontId="0" fillId="0" borderId="5" xfId="0" applyNumberFormat="1" applyFill="1" applyBorder="1" applyProtection="1"/>
    <xf numFmtId="166" fontId="1" fillId="0" borderId="22" xfId="0" applyNumberFormat="1" applyFont="1" applyFill="1" applyBorder="1" applyProtection="1"/>
    <xf numFmtId="166" fontId="1" fillId="0" borderId="5" xfId="0" applyNumberFormat="1" applyFont="1" applyFill="1" applyBorder="1" applyProtection="1"/>
    <xf numFmtId="166" fontId="1" fillId="0" borderId="29" xfId="0" applyNumberFormat="1" applyFont="1" applyFill="1" applyBorder="1" applyProtection="1"/>
    <xf numFmtId="166" fontId="0" fillId="0" borderId="29" xfId="0" applyNumberFormat="1" applyFill="1" applyBorder="1" applyProtection="1"/>
    <xf numFmtId="166" fontId="0" fillId="0" borderId="30" xfId="0" applyNumberFormat="1" applyFill="1" applyBorder="1" applyProtection="1"/>
    <xf numFmtId="166" fontId="0" fillId="0" borderId="28" xfId="0" applyNumberFormat="1" applyFill="1" applyBorder="1" applyProtection="1"/>
    <xf numFmtId="166" fontId="4" fillId="0" borderId="29" xfId="0" applyNumberFormat="1" applyFont="1" applyFill="1" applyBorder="1" applyProtection="1"/>
    <xf numFmtId="166" fontId="0" fillId="8" borderId="22" xfId="0" applyNumberFormat="1" applyFill="1" applyBorder="1" applyProtection="1">
      <protection locked="0"/>
    </xf>
    <xf numFmtId="166" fontId="4" fillId="0" borderId="26" xfId="0" applyNumberFormat="1" applyFont="1" applyFill="1" applyBorder="1" applyProtection="1"/>
    <xf numFmtId="166" fontId="3" fillId="0" borderId="29" xfId="0" applyNumberFormat="1" applyFont="1" applyFill="1" applyBorder="1" applyProtection="1"/>
    <xf numFmtId="4" fontId="4" fillId="0" borderId="27" xfId="0" applyNumberFormat="1" applyFont="1" applyFill="1" applyBorder="1" applyProtection="1"/>
    <xf numFmtId="166" fontId="3" fillId="0" borderId="22" xfId="0" applyNumberFormat="1" applyFont="1" applyFill="1" applyBorder="1" applyProtection="1"/>
    <xf numFmtId="166" fontId="0" fillId="0" borderId="26" xfId="0" applyNumberFormat="1" applyFill="1" applyBorder="1" applyProtection="1"/>
    <xf numFmtId="0" fontId="0" fillId="0" borderId="31" xfId="0" applyFill="1" applyBorder="1" applyProtection="1"/>
    <xf numFmtId="9" fontId="4" fillId="0" borderId="4" xfId="0" applyNumberFormat="1" applyFont="1" applyBorder="1" applyAlignment="1" applyProtection="1">
      <alignment horizontal="center"/>
    </xf>
    <xf numFmtId="166" fontId="0" fillId="0" borderId="30" xfId="0" applyNumberFormat="1" applyFill="1" applyBorder="1" applyAlignment="1" applyProtection="1">
      <alignment horizontal="center"/>
    </xf>
    <xf numFmtId="4" fontId="0" fillId="0" borderId="27" xfId="0" applyNumberFormat="1" applyFill="1" applyBorder="1" applyProtection="1"/>
    <xf numFmtId="0" fontId="0" fillId="0" borderId="0" xfId="0" applyFill="1" applyBorder="1" applyProtection="1"/>
    <xf numFmtId="0" fontId="2" fillId="0" borderId="0" xfId="0" applyFont="1" applyBorder="1" applyProtection="1"/>
    <xf numFmtId="0" fontId="4" fillId="0" borderId="2" xfId="0" applyFont="1" applyFill="1" applyBorder="1" applyAlignment="1" applyProtection="1">
      <alignment horizontal="center"/>
    </xf>
    <xf numFmtId="0" fontId="2" fillId="0" borderId="10" xfId="0" applyFont="1" applyFill="1" applyBorder="1" applyAlignment="1" applyProtection="1">
      <alignment horizontal="left"/>
    </xf>
    <xf numFmtId="166" fontId="4" fillId="0" borderId="0" xfId="0" applyNumberFormat="1" applyFont="1" applyFill="1" applyBorder="1" applyProtection="1"/>
    <xf numFmtId="166" fontId="4" fillId="0" borderId="11" xfId="0" applyNumberFormat="1" applyFont="1" applyFill="1" applyBorder="1" applyProtection="1"/>
    <xf numFmtId="166" fontId="0" fillId="0" borderId="21" xfId="0" applyNumberFormat="1" applyFill="1" applyBorder="1" applyProtection="1"/>
    <xf numFmtId="166" fontId="0" fillId="0" borderId="0" xfId="0" applyNumberFormat="1" applyFill="1" applyProtection="1"/>
    <xf numFmtId="0" fontId="1" fillId="7" borderId="4" xfId="0" applyFont="1" applyFill="1" applyBorder="1" applyAlignment="1" applyProtection="1">
      <alignment vertical="center"/>
      <protection locked="0"/>
    </xf>
    <xf numFmtId="0" fontId="2" fillId="9" borderId="4" xfId="0" applyFont="1" applyFill="1" applyBorder="1" applyAlignment="1" applyProtection="1">
      <alignment horizontal="center"/>
      <protection locked="0"/>
    </xf>
    <xf numFmtId="166" fontId="14" fillId="0" borderId="21" xfId="0" applyNumberFormat="1" applyFont="1" applyFill="1" applyBorder="1" applyProtection="1"/>
    <xf numFmtId="166" fontId="0" fillId="8" borderId="32"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2" fillId="0" borderId="0" xfId="0" applyFont="1" applyFill="1" applyAlignment="1" applyProtection="1">
      <alignment horizontal="center"/>
      <protection locked="0"/>
    </xf>
    <xf numFmtId="0" fontId="0" fillId="0" borderId="19" xfId="0" applyBorder="1" applyAlignment="1" applyProtection="1"/>
    <xf numFmtId="9" fontId="0" fillId="8" borderId="4" xfId="0" applyNumberFormat="1" applyFill="1" applyBorder="1" applyAlignment="1" applyProtection="1">
      <protection locked="0"/>
    </xf>
    <xf numFmtId="166" fontId="4" fillId="0" borderId="20" xfId="0" applyNumberFormat="1" applyFont="1" applyFill="1" applyBorder="1" applyProtection="1"/>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4" fillId="8" borderId="19" xfId="0" applyFont="1" applyFill="1" applyBorder="1" applyAlignment="1" applyProtection="1">
      <alignment horizontal="center"/>
      <protection locked="0"/>
    </xf>
    <xf numFmtId="0" fontId="2" fillId="8" borderId="19" xfId="0" applyFont="1" applyFill="1" applyBorder="1" applyAlignment="1" applyProtection="1">
      <alignment horizontal="center"/>
      <protection locked="0"/>
    </xf>
    <xf numFmtId="0" fontId="2" fillId="8" borderId="33" xfId="0" applyFont="1" applyFill="1" applyBorder="1" applyAlignment="1" applyProtection="1">
      <alignment horizontal="center"/>
      <protection locked="0"/>
    </xf>
    <xf numFmtId="0" fontId="2" fillId="8" borderId="35" xfId="0" applyFont="1" applyFill="1" applyBorder="1" applyAlignment="1" applyProtection="1">
      <alignment horizontal="center"/>
      <protection locked="0"/>
    </xf>
    <xf numFmtId="0" fontId="1"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left"/>
    </xf>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 fillId="0" borderId="1" xfId="0" applyFont="1" applyFill="1" applyBorder="1" applyAlignment="1" applyProtection="1">
      <alignment horizontal="center" vertical="center"/>
    </xf>
    <xf numFmtId="0" fontId="4" fillId="0" borderId="1" xfId="0" applyFont="1" applyFill="1" applyBorder="1" applyProtection="1"/>
    <xf numFmtId="39" fontId="0" fillId="0" borderId="0" xfId="0" applyNumberFormat="1" applyFill="1" applyBorder="1" applyProtection="1"/>
    <xf numFmtId="0" fontId="2" fillId="0" borderId="2" xfId="0" applyFont="1" applyFill="1" applyBorder="1" applyAlignment="1" applyProtection="1">
      <alignment horizontal="center"/>
    </xf>
    <xf numFmtId="0" fontId="0" fillId="0" borderId="3" xfId="0" applyFill="1" applyBorder="1" applyProtection="1"/>
    <xf numFmtId="0" fontId="0" fillId="0" borderId="0" xfId="0" applyAlignment="1">
      <alignment wrapText="1"/>
    </xf>
    <xf numFmtId="166" fontId="0" fillId="6" borderId="22" xfId="0" applyNumberFormat="1" applyFill="1" applyBorder="1" applyProtection="1"/>
    <xf numFmtId="0" fontId="0" fillId="0" borderId="2" xfId="0" applyBorder="1" applyAlignment="1" applyProtection="1">
      <alignment horizontal="center"/>
    </xf>
    <xf numFmtId="0" fontId="4" fillId="0" borderId="14" xfId="0" quotePrefix="1" applyFont="1" applyBorder="1" applyAlignment="1" applyProtection="1">
      <alignment horizontal="left"/>
    </xf>
    <xf numFmtId="166" fontId="3" fillId="0" borderId="0" xfId="0" applyNumberFormat="1" applyFont="1" applyFill="1" applyBorder="1" applyProtection="1"/>
    <xf numFmtId="0" fontId="2" fillId="0" borderId="0" xfId="0" applyFont="1" applyFill="1" applyBorder="1" applyProtection="1"/>
    <xf numFmtId="0" fontId="0" fillId="0" borderId="11" xfId="0" applyBorder="1" applyProtection="1"/>
    <xf numFmtId="10" fontId="0" fillId="0" borderId="4" xfId="0" applyNumberFormat="1" applyFill="1" applyBorder="1" applyProtection="1"/>
    <xf numFmtId="4" fontId="2" fillId="0" borderId="0" xfId="0" applyNumberFormat="1" applyFont="1" applyFill="1" applyBorder="1" applyProtection="1"/>
    <xf numFmtId="0" fontId="1" fillId="10" borderId="0" xfId="0" applyFont="1" applyFill="1" applyBorder="1" applyProtection="1"/>
    <xf numFmtId="0" fontId="4" fillId="0" borderId="0" xfId="0" applyFont="1" applyFill="1"/>
    <xf numFmtId="0" fontId="1" fillId="0" borderId="0" xfId="0" applyFont="1" applyFill="1"/>
    <xf numFmtId="166" fontId="2" fillId="0" borderId="29" xfId="0" applyNumberFormat="1" applyFont="1" applyFill="1" applyBorder="1" applyProtection="1"/>
    <xf numFmtId="4" fontId="14" fillId="0" borderId="0" xfId="0" applyNumberFormat="1" applyFont="1" applyFill="1" applyProtection="1"/>
    <xf numFmtId="4" fontId="14" fillId="0" borderId="0" xfId="0" applyNumberFormat="1" applyFont="1" applyFill="1" applyAlignment="1" applyProtection="1">
      <alignment horizontal="center"/>
    </xf>
    <xf numFmtId="165" fontId="0" fillId="0" borderId="5" xfId="0" applyNumberFormat="1" applyFill="1" applyBorder="1" applyProtection="1"/>
    <xf numFmtId="0" fontId="1" fillId="7" borderId="36" xfId="0" applyFont="1" applyFill="1" applyBorder="1" applyAlignment="1" applyProtection="1">
      <alignment vertical="center"/>
      <protection locked="0"/>
    </xf>
    <xf numFmtId="0" fontId="2"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0" fillId="0" borderId="0" xfId="0" applyAlignment="1">
      <alignment horizontal="center"/>
    </xf>
    <xf numFmtId="0" fontId="0" fillId="0" borderId="39" xfId="0" applyBorder="1"/>
    <xf numFmtId="0" fontId="0" fillId="0" borderId="0" xfId="0" applyBorder="1"/>
    <xf numFmtId="0" fontId="3" fillId="0" borderId="0" xfId="0" applyFont="1" applyProtection="1"/>
    <xf numFmtId="0" fontId="0" fillId="0" borderId="1" xfId="0" applyBorder="1" applyAlignment="1" applyProtection="1">
      <alignment horizontal="center"/>
    </xf>
    <xf numFmtId="37" fontId="0" fillId="0" borderId="3" xfId="0" applyNumberFormat="1" applyBorder="1" applyAlignment="1" applyProtection="1">
      <alignment horizontal="center"/>
    </xf>
    <xf numFmtId="4" fontId="3" fillId="0" borderId="0" xfId="0" applyNumberFormat="1" applyFont="1" applyBorder="1" applyProtection="1"/>
    <xf numFmtId="4" fontId="0" fillId="0" borderId="0" xfId="0" applyNumberFormat="1" applyBorder="1" applyProtection="1"/>
    <xf numFmtId="39" fontId="0" fillId="0" borderId="0" xfId="0" applyNumberFormat="1" applyBorder="1" applyProtection="1"/>
    <xf numFmtId="4" fontId="0" fillId="0" borderId="1" xfId="0" applyNumberFormat="1" applyFill="1" applyBorder="1" applyProtection="1"/>
    <xf numFmtId="0" fontId="0" fillId="0" borderId="0" xfId="0" applyAlignment="1" applyProtection="1">
      <alignment horizontal="center" vertical="center" wrapText="1"/>
    </xf>
    <xf numFmtId="4" fontId="0" fillId="0" borderId="0" xfId="0" applyNumberFormat="1" applyBorder="1" applyAlignment="1" applyProtection="1">
      <alignment horizontal="center" vertical="center" wrapText="1"/>
    </xf>
    <xf numFmtId="4" fontId="0" fillId="0" borderId="0" xfId="0" applyNumberFormat="1" applyBorder="1" applyAlignment="1" applyProtection="1">
      <alignment wrapText="1"/>
    </xf>
    <xf numFmtId="4" fontId="0" fillId="0" borderId="0" xfId="0" applyNumberFormat="1" applyFill="1" applyBorder="1" applyAlignment="1" applyProtection="1">
      <alignment horizontal="center" vertical="center" wrapText="1"/>
    </xf>
    <xf numFmtId="3" fontId="8" fillId="0" borderId="0" xfId="0" applyNumberFormat="1" applyFont="1" applyBorder="1" applyAlignment="1" applyProtection="1">
      <alignment horizontal="center"/>
    </xf>
    <xf numFmtId="3" fontId="2" fillId="0" borderId="0" xfId="0" applyNumberFormat="1" applyFont="1" applyBorder="1" applyAlignment="1" applyProtection="1">
      <alignment horizontal="center"/>
    </xf>
    <xf numFmtId="0" fontId="2" fillId="0" borderId="0" xfId="1" applyProtection="1"/>
    <xf numFmtId="1" fontId="0" fillId="0" borderId="0" xfId="0" applyNumberFormat="1" applyBorder="1" applyAlignment="1" applyProtection="1">
      <alignment horizontal="center"/>
    </xf>
    <xf numFmtId="39" fontId="0" fillId="0" borderId="0" xfId="0" applyNumberFormat="1" applyAlignment="1" applyProtection="1">
      <alignment horizontal="center"/>
    </xf>
    <xf numFmtId="0" fontId="1" fillId="0" borderId="0" xfId="1" applyFont="1" applyAlignment="1" applyProtection="1">
      <alignment horizontal="center"/>
    </xf>
    <xf numFmtId="0" fontId="0" fillId="0" borderId="0" xfId="0"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center"/>
    </xf>
    <xf numFmtId="0" fontId="1" fillId="0" borderId="0" xfId="0" applyFont="1" applyFill="1" applyBorder="1" applyAlignment="1" applyProtection="1">
      <alignment horizontal="left"/>
    </xf>
    <xf numFmtId="0" fontId="0" fillId="0" borderId="0" xfId="0" quotePrefix="1" applyProtection="1"/>
    <xf numFmtId="4" fontId="0" fillId="0" borderId="2" xfId="0" applyNumberFormat="1" applyBorder="1" applyProtection="1">
      <protection locked="0"/>
    </xf>
    <xf numFmtId="4" fontId="0" fillId="0" borderId="9" xfId="0" applyNumberFormat="1" applyBorder="1" applyProtection="1">
      <protection locked="0"/>
    </xf>
    <xf numFmtId="39" fontId="0" fillId="0" borderId="0" xfId="0" applyNumberFormat="1" applyProtection="1">
      <protection locked="0"/>
    </xf>
    <xf numFmtId="164" fontId="2" fillId="0" borderId="0" xfId="1" applyNumberFormat="1" applyProtection="1">
      <protection locked="0"/>
    </xf>
    <xf numFmtId="165" fontId="2" fillId="0" borderId="0" xfId="1" applyNumberFormat="1" applyProtection="1">
      <protection locked="0"/>
    </xf>
    <xf numFmtId="0" fontId="2" fillId="0" borderId="34" xfId="0" applyFont="1" applyFill="1" applyBorder="1" applyAlignment="1" applyProtection="1">
      <alignment horizontal="center"/>
    </xf>
    <xf numFmtId="14" fontId="0" fillId="0" borderId="0" xfId="0" applyNumberFormat="1" applyFill="1" applyBorder="1" applyProtection="1"/>
    <xf numFmtId="0" fontId="0" fillId="0" borderId="1" xfId="0" applyBorder="1" applyProtection="1"/>
    <xf numFmtId="0" fontId="4" fillId="0" borderId="1" xfId="0" applyFont="1" applyFill="1" applyBorder="1" applyAlignment="1" applyProtection="1">
      <alignment horizontal="center"/>
    </xf>
    <xf numFmtId="0" fontId="13" fillId="7" borderId="15" xfId="0" applyFont="1" applyFill="1" applyBorder="1" applyAlignment="1" applyProtection="1">
      <alignment horizontal="center" vertical="center"/>
      <protection locked="0"/>
    </xf>
    <xf numFmtId="0" fontId="0" fillId="0" borderId="0" xfId="0" applyFont="1" applyFill="1" applyBorder="1" applyProtection="1"/>
    <xf numFmtId="165" fontId="0" fillId="0" borderId="0" xfId="0" applyNumberFormat="1" applyProtection="1"/>
    <xf numFmtId="9" fontId="0" fillId="0" borderId="4" xfId="0" applyNumberFormat="1" applyBorder="1" applyProtection="1"/>
    <xf numFmtId="0" fontId="0" fillId="0" borderId="36" xfId="0" applyFont="1" applyFill="1" applyBorder="1" applyProtection="1"/>
    <xf numFmtId="0" fontId="0" fillId="0" borderId="3" xfId="0" applyFont="1" applyFill="1" applyBorder="1" applyProtection="1"/>
    <xf numFmtId="0" fontId="0" fillId="0" borderId="10" xfId="0" applyFont="1" applyFill="1" applyBorder="1" applyProtection="1"/>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2" fillId="0" borderId="33" xfId="0" applyFont="1" applyBorder="1" applyProtection="1"/>
    <xf numFmtId="0" fontId="2" fillId="0" borderId="6" xfId="0" applyFont="1" applyFill="1" applyBorder="1" applyAlignment="1" applyProtection="1">
      <alignment horizontal="left"/>
    </xf>
    <xf numFmtId="166" fontId="0" fillId="0" borderId="11" xfId="0" applyNumberFormat="1" applyFill="1" applyBorder="1" applyAlignment="1" applyProtection="1">
      <alignment horizontal="center"/>
    </xf>
    <xf numFmtId="166" fontId="0" fillId="0" borderId="13" xfId="0" applyNumberFormat="1" applyFill="1" applyBorder="1" applyAlignment="1" applyProtection="1">
      <alignment horizontal="center"/>
    </xf>
    <xf numFmtId="166" fontId="0" fillId="11" borderId="4" xfId="0" applyNumberFormat="1" applyFill="1" applyBorder="1" applyAlignment="1" applyProtection="1">
      <alignment horizontal="center"/>
      <protection locked="0"/>
    </xf>
    <xf numFmtId="14" fontId="2" fillId="7" borderId="4" xfId="0" applyNumberFormat="1" applyFont="1" applyFill="1" applyBorder="1" applyAlignment="1" applyProtection="1">
      <alignment horizontal="center"/>
      <protection locked="0"/>
    </xf>
    <xf numFmtId="0" fontId="0" fillId="0" borderId="0" xfId="0" applyAlignment="1">
      <alignment wrapText="1"/>
    </xf>
    <xf numFmtId="0" fontId="2" fillId="0" borderId="4" xfId="0" applyFont="1" applyFill="1" applyBorder="1" applyAlignment="1" applyProtection="1">
      <alignment horizontal="left" vertical="center"/>
    </xf>
    <xf numFmtId="0" fontId="2" fillId="0" borderId="6" xfId="0" applyFont="1" applyBorder="1" applyProtection="1"/>
    <xf numFmtId="0" fontId="0" fillId="6" borderId="5" xfId="0" applyFill="1" applyBorder="1" applyProtection="1"/>
    <xf numFmtId="0" fontId="0" fillId="6" borderId="27" xfId="0" applyFill="1" applyBorder="1" applyProtection="1"/>
    <xf numFmtId="165" fontId="0" fillId="0" borderId="27" xfId="0" applyNumberFormat="1" applyFill="1" applyBorder="1" applyProtection="1"/>
    <xf numFmtId="166" fontId="2" fillId="0" borderId="0" xfId="0" applyNumberFormat="1" applyFont="1" applyFill="1" applyBorder="1" applyProtection="1"/>
    <xf numFmtId="165" fontId="0" fillId="0" borderId="0" xfId="0" applyNumberFormat="1" applyFill="1" applyProtection="1"/>
    <xf numFmtId="165" fontId="1" fillId="0" borderId="26" xfId="0" applyNumberFormat="1" applyFont="1" applyFill="1" applyBorder="1" applyProtection="1"/>
    <xf numFmtId="166" fontId="0" fillId="0" borderId="26" xfId="0" applyNumberFormat="1" applyFill="1" applyBorder="1" applyAlignment="1" applyProtection="1">
      <alignment horizontal="center"/>
    </xf>
    <xf numFmtId="166" fontId="0" fillId="0" borderId="28" xfId="0" applyNumberFormat="1" applyFill="1" applyBorder="1" applyAlignment="1" applyProtection="1">
      <alignment horizontal="center"/>
    </xf>
    <xf numFmtId="0" fontId="1" fillId="0" borderId="14" xfId="0" applyFont="1" applyBorder="1" applyAlignment="1" applyProtection="1">
      <alignment horizontal="left"/>
    </xf>
    <xf numFmtId="0" fontId="4" fillId="0" borderId="19" xfId="0" applyFont="1" applyBorder="1" applyAlignment="1" applyProtection="1"/>
    <xf numFmtId="0" fontId="0" fillId="0" borderId="0" xfId="0" applyAlignment="1" applyProtection="1">
      <alignment horizontal="center"/>
    </xf>
    <xf numFmtId="0" fontId="2" fillId="10" borderId="0" xfId="0" applyFont="1" applyFill="1" applyProtection="1"/>
    <xf numFmtId="0" fontId="10" fillId="0" borderId="1" xfId="0" applyFont="1" applyFill="1" applyBorder="1" applyAlignment="1" applyProtection="1">
      <alignment horizontal="center" vertical="center" wrapText="1"/>
    </xf>
    <xf numFmtId="0" fontId="0" fillId="0" borderId="0" xfId="0" applyAlignment="1">
      <alignment horizontal="justify" wrapText="1"/>
    </xf>
    <xf numFmtId="0" fontId="0" fillId="0" borderId="0" xfId="0" applyAlignment="1" applyProtection="1">
      <alignment wrapText="1"/>
    </xf>
    <xf numFmtId="14" fontId="0" fillId="0" borderId="11" xfId="0" applyNumberFormat="1" applyFill="1" applyBorder="1" applyProtection="1"/>
    <xf numFmtId="0" fontId="0" fillId="0" borderId="36" xfId="0" applyBorder="1" applyAlignment="1" applyProtection="1">
      <alignment horizontal="center" wrapText="1"/>
    </xf>
    <xf numFmtId="0" fontId="0" fillId="0" borderId="2" xfId="0" applyBorder="1" applyAlignment="1" applyProtection="1">
      <alignment horizontal="center" wrapText="1"/>
    </xf>
    <xf numFmtId="165" fontId="0" fillId="0" borderId="4" xfId="0" applyNumberFormat="1" applyFill="1" applyBorder="1" applyAlignment="1" applyProtection="1">
      <alignment horizontal="center"/>
    </xf>
    <xf numFmtId="14" fontId="0" fillId="0" borderId="21" xfId="0" applyNumberFormat="1" applyFill="1" applyBorder="1" applyAlignment="1" applyProtection="1">
      <alignment horizontal="center"/>
    </xf>
    <xf numFmtId="0" fontId="0" fillId="0" borderId="11" xfId="0" applyFill="1" applyBorder="1" applyAlignment="1" applyProtection="1"/>
    <xf numFmtId="14" fontId="0" fillId="0" borderId="13" xfId="0" applyNumberFormat="1" applyFill="1" applyBorder="1" applyAlignment="1" applyProtection="1">
      <alignment horizontal="center"/>
    </xf>
    <xf numFmtId="0" fontId="0" fillId="0" borderId="13" xfId="0" applyFill="1" applyBorder="1" applyAlignment="1" applyProtection="1"/>
    <xf numFmtId="10" fontId="2" fillId="0" borderId="4" xfId="0" applyNumberFormat="1" applyFont="1" applyFill="1" applyBorder="1" applyAlignment="1" applyProtection="1">
      <alignment horizontal="center"/>
    </xf>
    <xf numFmtId="0" fontId="0" fillId="0" borderId="0" xfId="0" applyFill="1" applyBorder="1" applyAlignment="1" applyProtection="1"/>
    <xf numFmtId="0" fontId="0" fillId="6" borderId="26" xfId="0" applyFill="1" applyBorder="1" applyProtection="1"/>
    <xf numFmtId="0" fontId="0" fillId="0" borderId="22" xfId="0" applyFill="1" applyBorder="1" applyProtection="1"/>
    <xf numFmtId="165" fontId="0" fillId="0" borderId="22" xfId="0" applyNumberFormat="1" applyFill="1" applyBorder="1" applyProtection="1"/>
    <xf numFmtId="0" fontId="0" fillId="0" borderId="27" xfId="0" applyBorder="1" applyProtection="1"/>
    <xf numFmtId="0" fontId="0" fillId="0" borderId="26" xfId="0" applyBorder="1" applyProtection="1"/>
    <xf numFmtId="0" fontId="0" fillId="10" borderId="0" xfId="0" applyFill="1" applyProtection="1"/>
    <xf numFmtId="0" fontId="2" fillId="0" borderId="20" xfId="0" applyFont="1" applyBorder="1" applyAlignment="1" applyProtection="1"/>
    <xf numFmtId="0" fontId="3" fillId="0" borderId="0" xfId="0" applyFont="1" applyAlignment="1" applyProtection="1">
      <alignment horizontal="center"/>
      <protection locked="0"/>
    </xf>
    <xf numFmtId="0" fontId="1" fillId="0" borderId="19" xfId="0" applyFont="1" applyBorder="1" applyAlignment="1" applyProtection="1">
      <alignment horizontal="left" wrapText="1"/>
    </xf>
    <xf numFmtId="0" fontId="0" fillId="0" borderId="14" xfId="0" applyBorder="1" applyAlignment="1" applyProtection="1">
      <alignment horizontal="left" wrapText="1"/>
    </xf>
    <xf numFmtId="0" fontId="1" fillId="5" borderId="19" xfId="0" applyFont="1" applyFill="1" applyBorder="1" applyAlignment="1" applyProtection="1"/>
    <xf numFmtId="0" fontId="0" fillId="0" borderId="20" xfId="0" applyBorder="1" applyAlignment="1" applyProtection="1"/>
    <xf numFmtId="0" fontId="0" fillId="0" borderId="14" xfId="0" applyBorder="1" applyAlignment="1" applyProtection="1"/>
    <xf numFmtId="0" fontId="1" fillId="0" borderId="19" xfId="0" applyFont="1" applyBorder="1" applyAlignment="1" applyProtection="1">
      <alignment horizontal="left"/>
    </xf>
    <xf numFmtId="0" fontId="1" fillId="0" borderId="14" xfId="0" applyFont="1" applyBorder="1" applyAlignment="1" applyProtection="1">
      <alignment horizontal="left"/>
    </xf>
    <xf numFmtId="0" fontId="1" fillId="5" borderId="8" xfId="0" applyFont="1" applyFill="1" applyBorder="1" applyAlignment="1" applyProtection="1">
      <alignment horizontal="center"/>
    </xf>
    <xf numFmtId="0" fontId="0" fillId="5" borderId="13" xfId="0" applyFill="1" applyBorder="1" applyAlignment="1" applyProtection="1">
      <alignment horizontal="center"/>
    </xf>
    <xf numFmtId="0" fontId="1" fillId="5" borderId="4" xfId="0" applyFont="1" applyFill="1" applyBorder="1" applyAlignment="1" applyProtection="1">
      <alignment horizontal="center" vertical="center"/>
    </xf>
    <xf numFmtId="0" fontId="1" fillId="5" borderId="19" xfId="0" applyFont="1" applyFill="1" applyBorder="1" applyAlignment="1" applyProtection="1">
      <alignment horizontal="center"/>
    </xf>
    <xf numFmtId="0" fontId="0" fillId="5" borderId="14" xfId="0" applyFill="1" applyBorder="1" applyAlignment="1" applyProtection="1">
      <alignment horizontal="center"/>
    </xf>
    <xf numFmtId="0" fontId="1" fillId="5" borderId="4" xfId="0" applyFont="1" applyFill="1" applyBorder="1" applyAlignment="1" applyProtection="1">
      <alignment horizontal="left"/>
    </xf>
    <xf numFmtId="0" fontId="1" fillId="0" borderId="4" xfId="0" applyFont="1" applyBorder="1" applyAlignment="1" applyProtection="1">
      <alignment horizontal="left"/>
    </xf>
    <xf numFmtId="0" fontId="1" fillId="0" borderId="4" xfId="0" applyFont="1" applyBorder="1" applyAlignment="1" applyProtection="1"/>
    <xf numFmtId="0" fontId="0" fillId="0" borderId="4" xfId="0" applyBorder="1" applyAlignment="1" applyProtection="1"/>
    <xf numFmtId="0" fontId="1" fillId="0" borderId="19" xfId="0" applyFont="1" applyBorder="1" applyAlignment="1" applyProtection="1"/>
    <xf numFmtId="0" fontId="2" fillId="5" borderId="4" xfId="0" applyFont="1" applyFill="1" applyBorder="1" applyAlignment="1" applyProtection="1">
      <alignment horizontal="left"/>
    </xf>
    <xf numFmtId="0" fontId="1" fillId="0" borderId="4" xfId="0" applyFont="1" applyBorder="1" applyAlignment="1" applyProtection="1">
      <alignment vertical="center"/>
    </xf>
    <xf numFmtId="0" fontId="0" fillId="0" borderId="4" xfId="0" applyBorder="1" applyAlignment="1" applyProtection="1">
      <alignment vertical="center"/>
    </xf>
    <xf numFmtId="0" fontId="13" fillId="0" borderId="41" xfId="0" applyFont="1" applyBorder="1" applyAlignment="1" applyProtection="1">
      <alignment horizontal="center" vertical="center" wrapText="1"/>
    </xf>
    <xf numFmtId="0" fontId="0" fillId="0" borderId="41" xfId="0" applyBorder="1" applyAlignment="1" applyProtection="1">
      <alignment wrapText="1"/>
    </xf>
    <xf numFmtId="0" fontId="13" fillId="7" borderId="37" xfId="0" applyFont="1" applyFill="1" applyBorder="1" applyAlignment="1" applyProtection="1">
      <alignment horizontal="center" vertical="center"/>
      <protection locked="0"/>
    </xf>
    <xf numFmtId="0" fontId="0" fillId="0" borderId="38" xfId="0" applyBorder="1" applyAlignment="1" applyProtection="1">
      <protection locked="0"/>
    </xf>
    <xf numFmtId="0" fontId="10" fillId="4" borderId="37" xfId="0" applyFont="1" applyFill="1" applyBorder="1" applyAlignment="1" applyProtection="1">
      <alignment horizontal="center" vertical="center" wrapText="1"/>
    </xf>
    <xf numFmtId="0" fontId="0" fillId="0" borderId="38" xfId="0" applyBorder="1" applyAlignment="1" applyProtection="1">
      <alignment wrapText="1"/>
    </xf>
    <xf numFmtId="0" fontId="0" fillId="0" borderId="40" xfId="0" applyBorder="1" applyAlignment="1" applyProtection="1">
      <alignment wrapText="1"/>
    </xf>
    <xf numFmtId="0" fontId="0" fillId="0" borderId="31" xfId="0" applyBorder="1" applyAlignment="1" applyProtection="1">
      <alignment wrapText="1"/>
    </xf>
    <xf numFmtId="0" fontId="14" fillId="0" borderId="0" xfId="0" applyFont="1" applyFill="1" applyAlignment="1" applyProtection="1">
      <alignment horizontal="center"/>
    </xf>
    <xf numFmtId="0" fontId="14" fillId="0" borderId="0" xfId="0" applyFont="1" applyAlignment="1" applyProtection="1">
      <alignment horizontal="center"/>
    </xf>
    <xf numFmtId="0" fontId="1" fillId="0" borderId="1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1" fillId="0" borderId="4" xfId="0" applyFont="1" applyBorder="1" applyAlignment="1" applyProtection="1">
      <alignment horizontal="center"/>
    </xf>
    <xf numFmtId="0" fontId="0" fillId="0" borderId="4" xfId="0" applyBorder="1" applyAlignment="1" applyProtection="1">
      <alignment horizontal="center"/>
    </xf>
    <xf numFmtId="14" fontId="0" fillId="7" borderId="22" xfId="0" applyNumberFormat="1" applyFill="1" applyBorder="1" applyAlignment="1" applyProtection="1">
      <alignment horizontal="center"/>
      <protection locked="0"/>
    </xf>
    <xf numFmtId="0" fontId="0" fillId="7" borderId="5" xfId="0" applyFill="1" applyBorder="1" applyAlignment="1" applyProtection="1">
      <protection locked="0"/>
    </xf>
    <xf numFmtId="164" fontId="0" fillId="5" borderId="19" xfId="0" applyNumberFormat="1" applyFill="1" applyBorder="1" applyAlignment="1" applyProtection="1">
      <alignment horizontal="center"/>
    </xf>
    <xf numFmtId="164" fontId="0" fillId="5" borderId="14" xfId="0" applyNumberFormat="1" applyFill="1" applyBorder="1" applyAlignment="1" applyProtection="1"/>
    <xf numFmtId="0" fontId="1" fillId="5" borderId="4" xfId="0" applyFont="1" applyFill="1" applyBorder="1" applyAlignment="1" applyProtection="1">
      <alignment horizontal="center"/>
    </xf>
    <xf numFmtId="0" fontId="0" fillId="5" borderId="4" xfId="0" applyFill="1" applyBorder="1" applyAlignment="1" applyProtection="1">
      <alignment horizontal="center"/>
    </xf>
    <xf numFmtId="0" fontId="4" fillId="0" borderId="19" xfId="0" applyFont="1" applyBorder="1" applyAlignment="1" applyProtection="1"/>
    <xf numFmtId="0" fontId="4" fillId="0" borderId="13" xfId="0" applyFont="1" applyBorder="1" applyAlignment="1" applyProtection="1"/>
    <xf numFmtId="0" fontId="0" fillId="0" borderId="13" xfId="0" applyBorder="1" applyAlignment="1" applyProtection="1"/>
    <xf numFmtId="0" fontId="0" fillId="0" borderId="19" xfId="0" applyBorder="1" applyAlignment="1" applyProtection="1">
      <alignment horizontal="center"/>
    </xf>
    <xf numFmtId="0" fontId="0" fillId="0" borderId="14" xfId="0" applyBorder="1" applyAlignment="1" applyProtection="1">
      <alignment horizontal="center"/>
    </xf>
    <xf numFmtId="0" fontId="1" fillId="5" borderId="14" xfId="0" applyFont="1" applyFill="1" applyBorder="1" applyAlignment="1" applyProtection="1">
      <alignment horizontal="center"/>
    </xf>
    <xf numFmtId="0" fontId="1" fillId="0" borderId="4" xfId="0" applyFont="1" applyBorder="1" applyAlignment="1" applyProtection="1">
      <alignment horizontal="left" wrapText="1"/>
    </xf>
    <xf numFmtId="0" fontId="0" fillId="0" borderId="4" xfId="0" applyBorder="1" applyAlignment="1" applyProtection="1">
      <alignment horizontal="left" wrapText="1"/>
    </xf>
    <xf numFmtId="4" fontId="0" fillId="0" borderId="23" xfId="0" applyNumberFormat="1" applyBorder="1" applyAlignment="1" applyProtection="1">
      <alignment horizontal="center"/>
    </xf>
    <xf numFmtId="4" fontId="0" fillId="0" borderId="24" xfId="0" applyNumberFormat="1" applyBorder="1" applyAlignment="1" applyProtection="1">
      <alignment horizontal="center"/>
    </xf>
    <xf numFmtId="4" fontId="0" fillId="0" borderId="25" xfId="0" applyNumberFormat="1" applyBorder="1" applyAlignment="1" applyProtection="1">
      <alignment horizontal="center"/>
    </xf>
    <xf numFmtId="0" fontId="0" fillId="0" borderId="21"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1" fillId="0" borderId="0" xfId="1" applyFont="1" applyAlignment="1" applyProtection="1">
      <alignment horizontal="center"/>
    </xf>
    <xf numFmtId="0" fontId="0" fillId="0" borderId="0" xfId="0" applyAlignment="1" applyProtection="1">
      <alignment horizontal="center"/>
    </xf>
    <xf numFmtId="0" fontId="0" fillId="0" borderId="0" xfId="0" applyAlignment="1">
      <alignment horizontal="justify" wrapText="1"/>
    </xf>
    <xf numFmtId="0" fontId="3" fillId="2" borderId="19" xfId="0" applyFont="1" applyFill="1"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wrapText="1"/>
    </xf>
    <xf numFmtId="0" fontId="2" fillId="0" borderId="0" xfId="0" applyFont="1" applyFill="1" applyAlignment="1">
      <alignment horizontal="justify" wrapText="1"/>
    </xf>
    <xf numFmtId="0" fontId="0" fillId="12" borderId="0" xfId="0" applyFill="1"/>
    <xf numFmtId="0" fontId="18" fillId="12" borderId="0" xfId="0" applyFont="1" applyFill="1"/>
    <xf numFmtId="0" fontId="19" fillId="12" borderId="0" xfId="0" applyFont="1" applyFill="1"/>
    <xf numFmtId="0" fontId="22" fillId="12" borderId="0" xfId="0" applyFont="1" applyFill="1"/>
    <xf numFmtId="0" fontId="19" fillId="8" borderId="0" xfId="0" applyFont="1" applyFill="1"/>
    <xf numFmtId="0" fontId="20" fillId="8" borderId="0" xfId="0" applyFont="1" applyFill="1" applyAlignment="1">
      <alignment horizontal="left" vertical="center" wrapText="1"/>
    </xf>
    <xf numFmtId="0" fontId="21" fillId="8" borderId="0" xfId="0" applyFont="1" applyFill="1"/>
    <xf numFmtId="0" fontId="23" fillId="8" borderId="0" xfId="0" applyFont="1" applyFill="1"/>
    <xf numFmtId="0" fontId="24" fillId="8" borderId="0" xfId="0" applyFont="1" applyFill="1"/>
    <xf numFmtId="0" fontId="22" fillId="8" borderId="0" xfId="0" applyFont="1" applyFill="1"/>
    <xf numFmtId="0" fontId="25" fillId="8" borderId="0" xfId="0" applyFont="1" applyFill="1"/>
    <xf numFmtId="0" fontId="26" fillId="8" borderId="0" xfId="0" applyFont="1" applyFill="1"/>
    <xf numFmtId="0" fontId="27" fillId="8" borderId="0" xfId="2" applyFont="1" applyFill="1" applyProtection="1"/>
  </cellXfs>
  <cellStyles count="3">
    <cellStyle name="Hipervínculo" xfId="2" builtinId="8"/>
    <cellStyle name="Normal" xfId="0" builtinId="0"/>
    <cellStyle name="Normal 2" xfId="1" xr:uid="{00000000-0005-0000-0000-000001000000}"/>
  </cellStyles>
  <dxfs count="3">
    <dxf>
      <font>
        <condense val="0"/>
        <extend val="0"/>
        <color indexed="10"/>
      </font>
    </dxf>
    <dxf>
      <font>
        <condense val="0"/>
        <extend val="0"/>
        <color auto="1"/>
      </font>
      <fill>
        <patternFill>
          <bgColor indexed="4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ignacioonline.com.a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56"/>
  <sheetViews>
    <sheetView tabSelected="1" workbookViewId="0">
      <selection activeCell="H11" sqref="H11"/>
    </sheetView>
  </sheetViews>
  <sheetFormatPr baseColWidth="10" defaultRowHeight="12.75" x14ac:dyDescent="0.2"/>
  <cols>
    <col min="1" max="1" width="8.33203125" customWidth="1"/>
    <col min="2" max="3" width="13" customWidth="1"/>
    <col min="4" max="4" width="7.5" customWidth="1"/>
    <col min="5" max="5" width="63.6640625" customWidth="1"/>
    <col min="6" max="6" width="16.1640625" customWidth="1"/>
    <col min="7" max="7" width="8.33203125" customWidth="1"/>
    <col min="8" max="17" width="13.83203125" customWidth="1"/>
    <col min="18" max="18" width="15.33203125" customWidth="1"/>
    <col min="19" max="21" width="13.83203125" customWidth="1"/>
    <col min="22" max="22" width="20.33203125" customWidth="1"/>
    <col min="23" max="23" width="20.1640625" customWidth="1"/>
    <col min="24" max="24" width="19.6640625" customWidth="1"/>
    <col min="25" max="25" width="12.6640625" bestFit="1" customWidth="1"/>
  </cols>
  <sheetData>
    <row r="1" spans="1:33" ht="13.5" thickBot="1" x14ac:dyDescent="0.25">
      <c r="A1" s="294" t="s">
        <v>103</v>
      </c>
      <c r="B1" s="22"/>
      <c r="C1" s="313" t="s">
        <v>16</v>
      </c>
      <c r="D1" s="314"/>
      <c r="E1" s="165"/>
      <c r="F1" s="243" t="s">
        <v>53</v>
      </c>
      <c r="G1" s="159"/>
      <c r="H1" s="28">
        <f t="shared" ref="H1:U1" si="0">+IF(H6&lt;&gt;"",MONTH(H6),0)</f>
        <v>1</v>
      </c>
      <c r="I1" s="28">
        <f t="shared" si="0"/>
        <v>2</v>
      </c>
      <c r="J1" s="28">
        <f t="shared" si="0"/>
        <v>3</v>
      </c>
      <c r="K1" s="28">
        <f t="shared" si="0"/>
        <v>4</v>
      </c>
      <c r="L1" s="28">
        <f t="shared" si="0"/>
        <v>5</v>
      </c>
      <c r="M1" s="28">
        <f t="shared" si="0"/>
        <v>6</v>
      </c>
      <c r="N1" s="28">
        <f t="shared" si="0"/>
        <v>6</v>
      </c>
      <c r="O1" s="28">
        <f t="shared" si="0"/>
        <v>7</v>
      </c>
      <c r="P1" s="28">
        <f t="shared" si="0"/>
        <v>8</v>
      </c>
      <c r="Q1" s="28">
        <f t="shared" si="0"/>
        <v>9</v>
      </c>
      <c r="R1" s="28">
        <f t="shared" si="0"/>
        <v>10</v>
      </c>
      <c r="S1" s="28">
        <f t="shared" si="0"/>
        <v>11</v>
      </c>
      <c r="T1" s="28">
        <f t="shared" si="0"/>
        <v>12</v>
      </c>
      <c r="U1" s="28">
        <f t="shared" si="0"/>
        <v>12</v>
      </c>
      <c r="V1" s="274">
        <v>13</v>
      </c>
      <c r="W1" s="276"/>
      <c r="X1" s="22"/>
      <c r="Y1" s="22"/>
      <c r="Z1" s="22"/>
      <c r="AA1" s="22"/>
    </row>
    <row r="2" spans="1:33" x14ac:dyDescent="0.2">
      <c r="A2" s="169" t="s">
        <v>105</v>
      </c>
      <c r="B2" s="22"/>
      <c r="C2" s="313" t="s">
        <v>283</v>
      </c>
      <c r="D2" s="314"/>
      <c r="E2" s="165"/>
      <c r="F2" s="196" t="s">
        <v>271</v>
      </c>
      <c r="G2" s="72"/>
      <c r="H2" s="21">
        <v>1</v>
      </c>
      <c r="I2" s="21">
        <v>2</v>
      </c>
      <c r="J2" s="21">
        <v>3</v>
      </c>
      <c r="K2" s="21">
        <v>4</v>
      </c>
      <c r="L2" s="21">
        <v>5</v>
      </c>
      <c r="M2" s="21">
        <v>6</v>
      </c>
      <c r="N2" s="21">
        <v>7</v>
      </c>
      <c r="O2" s="21">
        <v>8</v>
      </c>
      <c r="P2" s="21">
        <v>9</v>
      </c>
      <c r="Q2" s="21">
        <v>10</v>
      </c>
      <c r="R2" s="21">
        <v>11</v>
      </c>
      <c r="S2" s="21">
        <v>12</v>
      </c>
      <c r="T2" s="21">
        <v>13</v>
      </c>
      <c r="U2" s="21">
        <v>14</v>
      </c>
      <c r="V2" s="319" t="s">
        <v>211</v>
      </c>
      <c r="W2" s="320"/>
      <c r="X2" s="22"/>
      <c r="Y2" s="22"/>
      <c r="Z2" s="22"/>
      <c r="AA2" s="22"/>
    </row>
    <row r="3" spans="1:33" ht="13.5" thickBot="1" x14ac:dyDescent="0.25">
      <c r="A3" s="169" t="s">
        <v>105</v>
      </c>
      <c r="B3" s="129"/>
      <c r="C3" s="313" t="s">
        <v>17</v>
      </c>
      <c r="D3" s="314"/>
      <c r="E3" s="207"/>
      <c r="F3" s="242"/>
      <c r="G3" s="22"/>
      <c r="H3" s="22"/>
      <c r="I3" s="23"/>
      <c r="J3" s="22"/>
      <c r="K3" s="22"/>
      <c r="L3" s="22"/>
      <c r="M3" s="23"/>
      <c r="N3" s="23"/>
      <c r="O3" s="23"/>
      <c r="P3" s="24"/>
      <c r="Q3" s="23"/>
      <c r="R3" s="23"/>
      <c r="S3" s="23"/>
      <c r="T3" s="23"/>
      <c r="U3" s="23"/>
      <c r="V3" s="321"/>
      <c r="W3" s="322"/>
      <c r="X3" s="22"/>
      <c r="Y3" s="22"/>
      <c r="Z3" s="22"/>
      <c r="AA3" s="22"/>
      <c r="AB3" s="22"/>
      <c r="AC3" s="22"/>
      <c r="AD3" s="22"/>
      <c r="AE3" s="22"/>
      <c r="AF3" s="22"/>
      <c r="AG3" s="22"/>
    </row>
    <row r="4" spans="1:33" ht="15" customHeight="1" thickBot="1" x14ac:dyDescent="0.25">
      <c r="A4" s="169" t="s">
        <v>105</v>
      </c>
      <c r="B4" s="129"/>
      <c r="C4" s="100"/>
      <c r="D4" s="29"/>
      <c r="E4" s="277"/>
      <c r="F4" s="241"/>
      <c r="G4" s="22"/>
      <c r="H4" s="26" t="str">
        <f>+VLOOKUP(H5,Tablas!$X$38:$Y$52,2,FALSE)</f>
        <v>General</v>
      </c>
      <c r="I4" s="26" t="str">
        <f>+VLOOKUP(I5,Tablas!$X$38:$Y$52,2,FALSE)</f>
        <v>General</v>
      </c>
      <c r="J4" s="26" t="str">
        <f>+VLOOKUP(J5,Tablas!$X$38:$Y$52,2,FALSE)</f>
        <v>General</v>
      </c>
      <c r="K4" s="26" t="str">
        <f>+VLOOKUP(K5,Tablas!$X$38:$Y$52,2,FALSE)</f>
        <v>General</v>
      </c>
      <c r="L4" s="26" t="str">
        <f>+VLOOKUP(L5,Tablas!$X$38:$Y$52,2,FALSE)</f>
        <v>General</v>
      </c>
      <c r="M4" s="26" t="str">
        <f>+VLOOKUP(M5,Tablas!$X$38:$Y$52,2,FALSE)</f>
        <v>General</v>
      </c>
      <c r="N4" s="26" t="str">
        <f>+VLOOKUP(N5,Tablas!$X$38:$Y$52,2,FALSE)</f>
        <v>General</v>
      </c>
      <c r="O4" s="26" t="str">
        <f>+VLOOKUP(O5,Tablas!$X$38:$Y$52,2,FALSE)</f>
        <v>General</v>
      </c>
      <c r="P4" s="26" t="str">
        <f>+VLOOKUP(P5,Tablas!$X$38:$Y$52,2,FALSE)</f>
        <v>General</v>
      </c>
      <c r="Q4" s="26" t="str">
        <f>+VLOOKUP(Q5,Tablas!$X$38:$Y$52,2,FALSE)</f>
        <v>General</v>
      </c>
      <c r="R4" s="26" t="str">
        <f>+VLOOKUP(R5,Tablas!$X$38:$Y$52,2,FALSE)</f>
        <v>General</v>
      </c>
      <c r="S4" s="26" t="str">
        <f>+VLOOKUP(S5,Tablas!$X$38:$Y$52,2,FALSE)</f>
        <v>General</v>
      </c>
      <c r="T4" s="26" t="str">
        <f>+VLOOKUP(T5,Tablas!$X$38:$Y$52,2,FALSE)</f>
        <v>General</v>
      </c>
      <c r="U4" s="26" t="str">
        <f>+VLOOKUP(U5,Tablas!$X$38:$Y$52,2,FALSE)</f>
        <v>General</v>
      </c>
      <c r="V4" s="315" t="str">
        <f>+VLOOKUP(V5,Tablas!$X$38:$Y$52,2,FALSE)</f>
        <v>General</v>
      </c>
      <c r="W4" s="316"/>
      <c r="X4" s="22"/>
      <c r="Y4" s="22"/>
      <c r="Z4" s="22"/>
      <c r="AA4" s="22"/>
      <c r="AB4" s="22"/>
      <c r="AC4" s="22"/>
      <c r="AD4" s="22"/>
      <c r="AE4" s="22"/>
      <c r="AF4" s="22"/>
      <c r="AG4" s="22"/>
    </row>
    <row r="5" spans="1:33" ht="13.5" thickBot="1" x14ac:dyDescent="0.25">
      <c r="A5" s="169" t="s">
        <v>105</v>
      </c>
      <c r="B5" s="129"/>
      <c r="C5" s="23"/>
      <c r="D5" s="22"/>
      <c r="E5" s="22"/>
      <c r="F5" s="325" t="s">
        <v>215</v>
      </c>
      <c r="G5" s="326"/>
      <c r="H5" s="244">
        <v>0</v>
      </c>
      <c r="I5" s="244">
        <v>0</v>
      </c>
      <c r="J5" s="244">
        <v>0</v>
      </c>
      <c r="K5" s="244">
        <v>0</v>
      </c>
      <c r="L5" s="244">
        <v>0</v>
      </c>
      <c r="M5" s="244">
        <v>0</v>
      </c>
      <c r="N5" s="244">
        <v>0</v>
      </c>
      <c r="O5" s="244">
        <v>0</v>
      </c>
      <c r="P5" s="244">
        <v>0</v>
      </c>
      <c r="Q5" s="244">
        <v>0</v>
      </c>
      <c r="R5" s="244">
        <v>0</v>
      </c>
      <c r="S5" s="244">
        <v>0</v>
      </c>
      <c r="T5" s="244">
        <v>0</v>
      </c>
      <c r="U5" s="244">
        <v>0</v>
      </c>
      <c r="V5" s="317">
        <v>0</v>
      </c>
      <c r="W5" s="318"/>
      <c r="X5" s="22"/>
      <c r="Y5" s="22"/>
      <c r="Z5" s="22"/>
      <c r="AA5" s="22"/>
      <c r="AB5" s="22"/>
      <c r="AC5" s="22"/>
      <c r="AD5" s="22"/>
      <c r="AE5" s="22"/>
      <c r="AF5" s="22"/>
      <c r="AG5" s="22"/>
    </row>
    <row r="6" spans="1:33" x14ac:dyDescent="0.2">
      <c r="A6" s="169" t="s">
        <v>105</v>
      </c>
      <c r="B6" s="27"/>
      <c r="C6" s="27"/>
      <c r="D6" s="27"/>
      <c r="E6" s="295" t="s">
        <v>38</v>
      </c>
      <c r="F6" s="296"/>
      <c r="G6" s="278"/>
      <c r="H6" s="115">
        <v>44227</v>
      </c>
      <c r="I6" s="258">
        <v>44255</v>
      </c>
      <c r="J6" s="115">
        <v>44286</v>
      </c>
      <c r="K6" s="115">
        <v>44316</v>
      </c>
      <c r="L6" s="115">
        <v>44347</v>
      </c>
      <c r="M6" s="115">
        <v>44377</v>
      </c>
      <c r="N6" s="115">
        <v>44377</v>
      </c>
      <c r="O6" s="115">
        <v>44408</v>
      </c>
      <c r="P6" s="115">
        <v>44439</v>
      </c>
      <c r="Q6" s="115">
        <v>44469</v>
      </c>
      <c r="R6" s="115">
        <v>44500</v>
      </c>
      <c r="S6" s="115">
        <v>44530</v>
      </c>
      <c r="T6" s="115">
        <v>44548</v>
      </c>
      <c r="U6" s="115">
        <v>44561</v>
      </c>
      <c r="V6" s="329">
        <v>44561</v>
      </c>
      <c r="W6" s="330"/>
      <c r="X6" s="29"/>
      <c r="Y6" s="29"/>
      <c r="Z6" s="29"/>
      <c r="AA6" s="22"/>
      <c r="AB6" s="22"/>
      <c r="AC6" s="22"/>
      <c r="AD6" s="22"/>
      <c r="AE6" s="22"/>
      <c r="AF6" s="22"/>
      <c r="AG6" s="22"/>
    </row>
    <row r="7" spans="1:33" x14ac:dyDescent="0.2">
      <c r="A7" s="169" t="s">
        <v>105</v>
      </c>
      <c r="B7" s="27"/>
      <c r="C7" s="27"/>
      <c r="D7" s="27"/>
      <c r="E7" s="295" t="s">
        <v>287</v>
      </c>
      <c r="F7" s="296"/>
      <c r="G7" s="279"/>
      <c r="H7" s="280">
        <f t="shared" ref="H7:U7" si="1">+H25+H33+H53+H61-H46-H47-H18-H19</f>
        <v>0</v>
      </c>
      <c r="I7" s="280">
        <f t="shared" si="1"/>
        <v>0</v>
      </c>
      <c r="J7" s="280">
        <f t="shared" si="1"/>
        <v>0</v>
      </c>
      <c r="K7" s="280">
        <f t="shared" si="1"/>
        <v>0</v>
      </c>
      <c r="L7" s="280">
        <f t="shared" si="1"/>
        <v>0</v>
      </c>
      <c r="M7" s="280">
        <f t="shared" si="1"/>
        <v>0</v>
      </c>
      <c r="N7" s="280">
        <f t="shared" si="1"/>
        <v>0</v>
      </c>
      <c r="O7" s="280">
        <f t="shared" si="1"/>
        <v>0</v>
      </c>
      <c r="P7" s="280">
        <f t="shared" si="1"/>
        <v>0</v>
      </c>
      <c r="Q7" s="280">
        <f t="shared" si="1"/>
        <v>0</v>
      </c>
      <c r="R7" s="280">
        <f t="shared" si="1"/>
        <v>0</v>
      </c>
      <c r="S7" s="280">
        <f t="shared" si="1"/>
        <v>0</v>
      </c>
      <c r="T7" s="280">
        <f t="shared" si="1"/>
        <v>0</v>
      </c>
      <c r="U7" s="280">
        <f t="shared" si="1"/>
        <v>0</v>
      </c>
      <c r="V7" s="281"/>
      <c r="W7" s="282"/>
      <c r="X7" s="29"/>
      <c r="Y7" s="29"/>
      <c r="Z7" s="29"/>
      <c r="AA7" s="22"/>
      <c r="AB7" s="22"/>
      <c r="AC7" s="22"/>
      <c r="AD7" s="22"/>
      <c r="AE7" s="22"/>
      <c r="AF7" s="22"/>
      <c r="AG7" s="22"/>
    </row>
    <row r="8" spans="1:33" x14ac:dyDescent="0.2">
      <c r="A8" s="169" t="s">
        <v>105</v>
      </c>
      <c r="B8" s="27"/>
      <c r="C8" s="27"/>
      <c r="D8" s="27"/>
      <c r="E8" s="295" t="s">
        <v>288</v>
      </c>
      <c r="F8" s="296"/>
      <c r="G8" s="279"/>
      <c r="H8" s="246">
        <f>+H7</f>
        <v>0</v>
      </c>
      <c r="I8" s="246">
        <f>+SUMIF($H$1:I1,I1,$H$7:I7)</f>
        <v>0</v>
      </c>
      <c r="J8" s="246">
        <f>+SUMIF($H$1:J1,J1,$H$7:J7)</f>
        <v>0</v>
      </c>
      <c r="K8" s="246">
        <f>+SUMIF($H$1:K1,K1,$H$7:K7)</f>
        <v>0</v>
      </c>
      <c r="L8" s="246">
        <f>+SUMIF($H$1:L1,L1,$H$7:L7)</f>
        <v>0</v>
      </c>
      <c r="M8" s="246">
        <f>+SUMIF($H$1:M1,M1,$H$7:M7)</f>
        <v>0</v>
      </c>
      <c r="N8" s="246">
        <f>+SUMIF($H$1:N1,N1,$H$7:N7)</f>
        <v>0</v>
      </c>
      <c r="O8" s="246">
        <f>+SUMIF($H$1:O1,O1,$H$7:O7)</f>
        <v>0</v>
      </c>
      <c r="P8" s="246">
        <f>+SUMIF($H$1:P1,P1,$H$7:P7)</f>
        <v>0</v>
      </c>
      <c r="Q8" s="246">
        <f>+SUMIF($H$1:Q1,Q1,$H$7:Q7)</f>
        <v>0</v>
      </c>
      <c r="R8" s="246">
        <f>+SUMIF($H$1:R1,R1,$H$7:R7)</f>
        <v>0</v>
      </c>
      <c r="S8" s="246">
        <f>+SUMIF($H$1:S1,S1,$H$7:S7)</f>
        <v>0</v>
      </c>
      <c r="T8" s="246">
        <f>+SUMIF($H$1:T1,T1,$H$7:T7)</f>
        <v>0</v>
      </c>
      <c r="U8" s="246">
        <f>+SUMIF($H$1:U1,U1,$H$7:U7)</f>
        <v>0</v>
      </c>
      <c r="V8" s="283"/>
      <c r="W8" s="284"/>
      <c r="X8" s="29"/>
      <c r="Y8" s="29"/>
      <c r="Z8" s="29"/>
      <c r="AA8" s="22"/>
      <c r="AB8" s="22"/>
      <c r="AC8" s="22"/>
      <c r="AD8" s="22"/>
      <c r="AE8" s="22"/>
      <c r="AF8" s="22"/>
      <c r="AG8" s="22"/>
    </row>
    <row r="9" spans="1:33" x14ac:dyDescent="0.2">
      <c r="A9" s="169" t="s">
        <v>105</v>
      </c>
      <c r="B9" s="27"/>
      <c r="C9" s="27"/>
      <c r="D9" s="27"/>
      <c r="E9" s="295" t="s">
        <v>286</v>
      </c>
      <c r="F9" s="296"/>
      <c r="G9" s="279"/>
      <c r="H9" s="280">
        <f>+IF(H1&lt;&gt;0,ROUND(SUM($H$7:H7)/H1,2),0)</f>
        <v>0</v>
      </c>
      <c r="I9" s="280">
        <f>+IF(I1&lt;&gt;0,ROUND(SUM($H$7:I7)/I1,2),0)</f>
        <v>0</v>
      </c>
      <c r="J9" s="280">
        <f>+IF(J1&lt;&gt;0,ROUND(SUM($H$7:J7)/J1,2),0)</f>
        <v>0</v>
      </c>
      <c r="K9" s="280">
        <f>+IF(K1&lt;&gt;0,ROUND(SUM($H$7:K7)/K1,2),0)</f>
        <v>0</v>
      </c>
      <c r="L9" s="280">
        <f>+IF(L1&lt;&gt;0,ROUND(SUM($H$7:L7)/L1,2),0)</f>
        <v>0</v>
      </c>
      <c r="M9" s="280">
        <f>+IF(M1&lt;&gt;0,ROUND(SUM($H$7:M7)/M1,2),0)</f>
        <v>0</v>
      </c>
      <c r="N9" s="280">
        <f>+IF(N1&lt;&gt;0,ROUND(SUM($H$7:N7)/N1,2),0)</f>
        <v>0</v>
      </c>
      <c r="O9" s="280">
        <f>+IF(O1&lt;&gt;0,ROUND(SUM($H$7:O7)/O1,2),0)</f>
        <v>0</v>
      </c>
      <c r="P9" s="280">
        <f>+IF(P1&lt;&gt;0,ROUND(SUM($H$7:P7)/P1,2),0)</f>
        <v>0</v>
      </c>
      <c r="Q9" s="280">
        <f>+IF(Q1&lt;&gt;0,ROUND(SUM($H$7:Q7)/Q1,2),0)</f>
        <v>0</v>
      </c>
      <c r="R9" s="280">
        <f>+IF(R1&lt;&gt;0,ROUND(SUM($H$7:R7)/R1,2),0)</f>
        <v>0</v>
      </c>
      <c r="S9" s="280">
        <f>+IF(S1&lt;&gt;0,ROUND(SUM($H$7:S7)/S1,2),0)</f>
        <v>0</v>
      </c>
      <c r="T9" s="280">
        <f>+IF(T1&lt;&gt;0,ROUND(SUM($H$7:T7)/T1,2),0)</f>
        <v>0</v>
      </c>
      <c r="U9" s="280">
        <f>+IF(U1&lt;&gt;0,ROUND(SUM($H$7:U7)/U1,2),0)</f>
        <v>0</v>
      </c>
      <c r="V9" s="331">
        <f>ROUND((X25+X33+X53+X61-X18-X19-X46-X47)/MAX(H1:U1),2)</f>
        <v>0</v>
      </c>
      <c r="W9" s="332"/>
      <c r="X9" s="29"/>
      <c r="Y9" s="29"/>
      <c r="Z9" s="29"/>
      <c r="AA9" s="22"/>
      <c r="AB9" s="22"/>
      <c r="AC9" s="22"/>
      <c r="AD9" s="22"/>
      <c r="AE9" s="22"/>
      <c r="AF9" s="22"/>
      <c r="AG9" s="22"/>
    </row>
    <row r="10" spans="1:33" x14ac:dyDescent="0.2">
      <c r="A10" s="169" t="s">
        <v>105</v>
      </c>
      <c r="B10" s="27"/>
      <c r="C10" s="27"/>
      <c r="D10" s="27"/>
      <c r="E10" s="341" t="s">
        <v>264</v>
      </c>
      <c r="F10" s="342"/>
      <c r="G10" s="279"/>
      <c r="H10" s="280">
        <f>+MIN(H8,H9)</f>
        <v>0</v>
      </c>
      <c r="I10" s="280">
        <f t="shared" ref="I10:J10" si="2">+MIN(I8,I9)</f>
        <v>0</v>
      </c>
      <c r="J10" s="280">
        <f t="shared" si="2"/>
        <v>0</v>
      </c>
      <c r="K10" s="280">
        <f t="shared" ref="K10" si="3">+MIN(K8,K9)</f>
        <v>0</v>
      </c>
      <c r="L10" s="280">
        <f t="shared" ref="L10" si="4">+MIN(L8,L9)</f>
        <v>0</v>
      </c>
      <c r="M10" s="280">
        <f t="shared" ref="M10" si="5">+MIN(M8,M9)</f>
        <v>0</v>
      </c>
      <c r="N10" s="280">
        <f t="shared" ref="N10" si="6">+MIN(N8,N9)</f>
        <v>0</v>
      </c>
      <c r="O10" s="280">
        <f t="shared" ref="O10" si="7">+MIN(O8,O9)</f>
        <v>0</v>
      </c>
      <c r="P10" s="280">
        <f t="shared" ref="P10" si="8">+MIN(P8,P9)</f>
        <v>0</v>
      </c>
      <c r="Q10" s="280">
        <f t="shared" ref="Q10" si="9">+MIN(Q8,Q9)</f>
        <v>0</v>
      </c>
      <c r="R10" s="280">
        <f t="shared" ref="R10" si="10">+MIN(R8,R9)</f>
        <v>0</v>
      </c>
      <c r="S10" s="280">
        <f t="shared" ref="S10" si="11">+MIN(S8,S9)</f>
        <v>0</v>
      </c>
      <c r="T10" s="280">
        <f t="shared" ref="T10" si="12">+MIN(T8,T9)</f>
        <v>0</v>
      </c>
      <c r="U10" s="280">
        <f t="shared" ref="U10" si="13">+MIN(U8,U9)</f>
        <v>0</v>
      </c>
      <c r="V10" s="22"/>
      <c r="W10" s="22"/>
      <c r="X10" s="29"/>
      <c r="Y10" s="29"/>
      <c r="Z10" s="29"/>
      <c r="AA10" s="22"/>
      <c r="AB10" s="22"/>
      <c r="AC10" s="22"/>
      <c r="AD10" s="22"/>
      <c r="AE10" s="22"/>
      <c r="AF10" s="22"/>
      <c r="AG10" s="22"/>
    </row>
    <row r="11" spans="1:33" x14ac:dyDescent="0.2">
      <c r="A11" s="169" t="s">
        <v>105</v>
      </c>
      <c r="B11" s="27"/>
      <c r="C11" s="27"/>
      <c r="D11" s="27"/>
      <c r="E11" s="327" t="s">
        <v>253</v>
      </c>
      <c r="F11" s="328"/>
      <c r="G11" s="193"/>
      <c r="H11" s="285" t="str">
        <f>+IF(H10&lt;Tablas!$AG$20,"NO",IF(H10&lt;Tablas!$AG$21,"CON DCTO","PLENO"))</f>
        <v>NO</v>
      </c>
      <c r="I11" s="285" t="str">
        <f>+IF(I10&lt;Tablas!$AG$20,"NO",IF(I10&lt;Tablas!$AG$21,"CON DCTO","PLENO"))</f>
        <v>NO</v>
      </c>
      <c r="J11" s="285" t="str">
        <f>+IF(J10&lt;Tablas!$AG$20,"NO",IF(J10&lt;Tablas!$AG$21,"CON DCTO","PLENO"))</f>
        <v>NO</v>
      </c>
      <c r="K11" s="285" t="str">
        <f>+IF(K10&lt;Tablas!$AG$20,"NO",IF(K10&lt;Tablas!$AG$21,"CON DCTO","PLENO"))</f>
        <v>NO</v>
      </c>
      <c r="L11" s="285" t="str">
        <f>+IF(L10&lt;Tablas!$AG$20,"NO",IF(L10&lt;Tablas!$AG$21,"CON DCTO","PLENO"))</f>
        <v>NO</v>
      </c>
      <c r="M11" s="285" t="str">
        <f>+IF(M10&lt;Tablas!$AG$20,"NO",IF(M10&lt;Tablas!$AG$21,"CON DCTO","PLENO"))</f>
        <v>NO</v>
      </c>
      <c r="N11" s="285" t="str">
        <f>+IF(N10&lt;Tablas!$AG$20,"NO",IF(N10&lt;Tablas!$AG$21,"CON DCTO","PLENO"))</f>
        <v>NO</v>
      </c>
      <c r="O11" s="285" t="str">
        <f>+IF(O10&lt;Tablas!$AG$20,"NO",IF(O10&lt;Tablas!$AG$21,"CON DCTO","PLENO"))</f>
        <v>NO</v>
      </c>
      <c r="P11" s="285" t="str">
        <f>+IF(P10&lt;Tablas!$AG$20,"NO",IF(P10&lt;Tablas!$AG$21,"CON DCTO","PLENO"))</f>
        <v>NO</v>
      </c>
      <c r="Q11" s="285" t="str">
        <f>+IF(Q10&lt;Tablas!$AG$20,"NO",IF(Q10&lt;Tablas!$AG$21,"CON DCTO","PLENO"))</f>
        <v>NO</v>
      </c>
      <c r="R11" s="285" t="str">
        <f>+IF(R10&lt;Tablas!$AG$20,"NO",IF(R10&lt;Tablas!$AG$21,"CON DCTO","PLENO"))</f>
        <v>NO</v>
      </c>
      <c r="S11" s="285" t="str">
        <f>+IF(S10&lt;Tablas!$AG$20,"NO",IF(S10&lt;Tablas!$AG$21,"CON DCTO","PLENO"))</f>
        <v>NO</v>
      </c>
      <c r="T11" s="285" t="str">
        <f>+IF(T10&lt;Tablas!$AG$20,"NO",IF(T10&lt;Tablas!$AG$21,"CON DCTO","PLENO"))</f>
        <v>NO</v>
      </c>
      <c r="U11" s="285" t="str">
        <f>+IF(U10&lt;Tablas!$AG$20,"NO",IF(U10&lt;Tablas!$AG$21,"CON DCTO","PLENO"))</f>
        <v>NO</v>
      </c>
      <c r="V11" s="338" t="str">
        <f>IF(V9&lt;Tablas!$AG$20,"NO",IF(V9&lt;Tablas!$AG$21,"CON DCTO","PLENO"))</f>
        <v>NO</v>
      </c>
      <c r="W11" s="339"/>
      <c r="X11" s="29"/>
      <c r="Y11" s="29"/>
      <c r="Z11" s="29"/>
      <c r="AA11" s="22"/>
      <c r="AB11" s="22"/>
      <c r="AC11" s="22"/>
      <c r="AD11" s="22"/>
      <c r="AE11" s="22"/>
      <c r="AF11" s="22"/>
      <c r="AG11" s="22"/>
    </row>
    <row r="12" spans="1:33" x14ac:dyDescent="0.2">
      <c r="A12" s="169" t="s">
        <v>105</v>
      </c>
      <c r="B12" s="27"/>
      <c r="C12" s="27"/>
      <c r="D12" s="27"/>
      <c r="E12" s="63"/>
      <c r="F12" s="98"/>
      <c r="G12" s="98"/>
      <c r="H12" s="74"/>
      <c r="I12" s="74"/>
      <c r="J12" s="74"/>
      <c r="K12" s="74"/>
      <c r="L12" s="74"/>
      <c r="M12" s="74"/>
      <c r="N12" s="74"/>
      <c r="O12" s="74"/>
      <c r="P12" s="74"/>
      <c r="Q12" s="74"/>
      <c r="R12" s="74"/>
      <c r="S12" s="74"/>
      <c r="T12" s="74"/>
      <c r="U12" s="74"/>
      <c r="V12" s="133" t="s">
        <v>209</v>
      </c>
      <c r="W12" s="208" t="s">
        <v>210</v>
      </c>
      <c r="X12" s="209" t="s">
        <v>281</v>
      </c>
      <c r="Y12" s="29"/>
      <c r="Z12" s="29"/>
      <c r="AA12" s="22"/>
      <c r="AB12" s="22"/>
      <c r="AC12" s="22"/>
      <c r="AD12" s="22"/>
      <c r="AE12" s="22"/>
      <c r="AF12" s="22"/>
      <c r="AG12" s="22"/>
    </row>
    <row r="13" spans="1:33" x14ac:dyDescent="0.2">
      <c r="A13" s="169" t="s">
        <v>105</v>
      </c>
      <c r="B13" s="304" t="s">
        <v>139</v>
      </c>
      <c r="C13" s="304"/>
      <c r="D13" s="304"/>
      <c r="E13" s="304"/>
      <c r="F13" s="304"/>
      <c r="G13" s="180"/>
      <c r="H13" s="74"/>
      <c r="I13" s="74"/>
      <c r="J13" s="74"/>
      <c r="K13" s="74"/>
      <c r="L13" s="74"/>
      <c r="M13" s="74"/>
      <c r="N13" s="74"/>
      <c r="O13" s="74"/>
      <c r="P13" s="74"/>
      <c r="Q13" s="74"/>
      <c r="R13" s="74"/>
      <c r="S13" s="74"/>
      <c r="T13" s="74"/>
      <c r="U13" s="74"/>
      <c r="V13" s="134"/>
      <c r="W13" s="135"/>
      <c r="X13" s="29"/>
      <c r="Y13" s="29"/>
      <c r="Z13" s="29"/>
      <c r="AA13" s="22"/>
      <c r="AB13" s="22"/>
      <c r="AC13" s="22"/>
      <c r="AD13" s="22"/>
      <c r="AE13" s="22"/>
      <c r="AF13" s="22"/>
      <c r="AG13" s="22"/>
    </row>
    <row r="14" spans="1:33" s="3" customFormat="1" x14ac:dyDescent="0.2">
      <c r="A14" s="169" t="s">
        <v>105</v>
      </c>
      <c r="B14" s="70" t="s">
        <v>119</v>
      </c>
      <c r="C14" s="307" t="s">
        <v>118</v>
      </c>
      <c r="D14" s="310"/>
      <c r="E14" s="310"/>
      <c r="F14" s="310"/>
      <c r="G14" s="286"/>
      <c r="H14" s="73"/>
      <c r="I14" s="73"/>
      <c r="J14" s="73"/>
      <c r="K14" s="73"/>
      <c r="L14" s="73"/>
      <c r="M14" s="73"/>
      <c r="N14" s="73"/>
      <c r="O14" s="73"/>
      <c r="P14" s="73"/>
      <c r="Q14" s="73"/>
      <c r="R14" s="73"/>
      <c r="S14" s="73"/>
      <c r="T14" s="73"/>
      <c r="U14" s="73"/>
      <c r="V14" s="136"/>
      <c r="W14" s="135"/>
      <c r="X14" s="29"/>
      <c r="Y14" s="29"/>
      <c r="Z14" s="29"/>
      <c r="AA14" s="29"/>
      <c r="AB14" s="29"/>
      <c r="AC14" s="29"/>
      <c r="AD14" s="29"/>
      <c r="AE14" s="29"/>
      <c r="AF14" s="29"/>
      <c r="AG14" s="29"/>
    </row>
    <row r="15" spans="1:33" x14ac:dyDescent="0.2">
      <c r="A15" s="169" t="s">
        <v>105</v>
      </c>
      <c r="B15" s="31"/>
      <c r="C15" s="75" t="s">
        <v>95</v>
      </c>
      <c r="D15" s="333" t="s">
        <v>111</v>
      </c>
      <c r="E15" s="334"/>
      <c r="F15" s="32"/>
      <c r="G15" s="181"/>
      <c r="H15" s="33"/>
      <c r="I15" s="33"/>
      <c r="J15" s="33"/>
      <c r="K15" s="33"/>
      <c r="L15" s="33"/>
      <c r="M15" s="33"/>
      <c r="N15" s="33"/>
      <c r="O15" s="33"/>
      <c r="P15" s="33"/>
      <c r="Q15" s="33"/>
      <c r="R15" s="33"/>
      <c r="S15" s="33"/>
      <c r="T15" s="33"/>
      <c r="U15" s="33"/>
      <c r="V15" s="137"/>
      <c r="W15" s="135"/>
      <c r="X15" s="29"/>
      <c r="Y15" s="100"/>
      <c r="Z15" s="29"/>
      <c r="AA15" s="22"/>
      <c r="AB15" s="22"/>
      <c r="AC15" s="22"/>
      <c r="AD15" s="22"/>
      <c r="AE15" s="22"/>
      <c r="AF15" s="22"/>
      <c r="AG15" s="22"/>
    </row>
    <row r="16" spans="1:33" x14ac:dyDescent="0.2">
      <c r="A16" s="169" t="s">
        <v>105</v>
      </c>
      <c r="B16" s="62" t="s">
        <v>161</v>
      </c>
      <c r="C16" s="31"/>
      <c r="D16" s="60" t="s">
        <v>110</v>
      </c>
      <c r="E16" s="60"/>
      <c r="F16" s="35" t="s">
        <v>18</v>
      </c>
      <c r="G16" s="182"/>
      <c r="H16" s="116"/>
      <c r="I16" s="116"/>
      <c r="J16" s="116"/>
      <c r="K16" s="116"/>
      <c r="L16" s="116"/>
      <c r="M16" s="116"/>
      <c r="N16" s="116"/>
      <c r="O16" s="116"/>
      <c r="P16" s="116"/>
      <c r="Q16" s="116"/>
      <c r="R16" s="116"/>
      <c r="S16" s="116"/>
      <c r="T16" s="116"/>
      <c r="U16" s="116"/>
      <c r="V16" s="138">
        <f>+X16</f>
        <v>0</v>
      </c>
      <c r="W16" s="262"/>
      <c r="X16" s="164">
        <f t="shared" ref="X16:X24" si="14">+SUM(H16:U16)</f>
        <v>0</v>
      </c>
      <c r="Y16" s="100"/>
      <c r="Z16" s="29"/>
      <c r="AA16" s="22"/>
      <c r="AB16" s="22"/>
      <c r="AC16" s="22"/>
      <c r="AD16" s="22"/>
      <c r="AE16" s="22"/>
      <c r="AF16" s="22"/>
      <c r="AG16" s="22"/>
    </row>
    <row r="17" spans="1:33" x14ac:dyDescent="0.2">
      <c r="A17" s="169" t="s">
        <v>105</v>
      </c>
      <c r="B17" s="62" t="s">
        <v>162</v>
      </c>
      <c r="C17" s="31"/>
      <c r="D17" s="62" t="s">
        <v>140</v>
      </c>
      <c r="E17" s="34"/>
      <c r="F17" s="35" t="s">
        <v>18</v>
      </c>
      <c r="G17" s="182"/>
      <c r="H17" s="116"/>
      <c r="I17" s="116"/>
      <c r="J17" s="116"/>
      <c r="K17" s="116"/>
      <c r="L17" s="116"/>
      <c r="M17" s="116"/>
      <c r="N17" s="116"/>
      <c r="O17" s="116"/>
      <c r="P17" s="116"/>
      <c r="Q17" s="116"/>
      <c r="R17" s="116"/>
      <c r="S17" s="116"/>
      <c r="T17" s="116"/>
      <c r="U17" s="116"/>
      <c r="V17" s="138">
        <f>+X17</f>
        <v>0</v>
      </c>
      <c r="W17" s="262"/>
      <c r="X17" s="164">
        <f t="shared" si="14"/>
        <v>0</v>
      </c>
      <c r="Y17" s="100"/>
      <c r="Z17" s="29"/>
      <c r="AA17" s="22"/>
      <c r="AB17" s="22"/>
      <c r="AC17" s="22"/>
      <c r="AD17" s="22"/>
      <c r="AE17" s="22"/>
      <c r="AF17" s="22"/>
      <c r="AG17" s="22"/>
    </row>
    <row r="18" spans="1:33" x14ac:dyDescent="0.2">
      <c r="A18" s="169" t="s">
        <v>105</v>
      </c>
      <c r="B18" s="62" t="s">
        <v>165</v>
      </c>
      <c r="C18" s="62"/>
      <c r="D18" s="62" t="s">
        <v>116</v>
      </c>
      <c r="E18" s="34"/>
      <c r="F18" s="35" t="s">
        <v>18</v>
      </c>
      <c r="G18" s="182"/>
      <c r="H18" s="116"/>
      <c r="I18" s="116"/>
      <c r="J18" s="116"/>
      <c r="K18" s="116"/>
      <c r="L18" s="116"/>
      <c r="M18" s="116"/>
      <c r="N18" s="116"/>
      <c r="O18" s="116"/>
      <c r="P18" s="116"/>
      <c r="Q18" s="116"/>
      <c r="R18" s="116"/>
      <c r="S18" s="116"/>
      <c r="T18" s="116"/>
      <c r="U18" s="116"/>
      <c r="V18" s="138">
        <f>+IF($V$9&gt;Tablas!$AG$22,X18,0)</f>
        <v>0</v>
      </c>
      <c r="W18" s="206">
        <f>+X18-V18</f>
        <v>0</v>
      </c>
      <c r="X18" s="164">
        <f t="shared" si="14"/>
        <v>0</v>
      </c>
      <c r="Y18" s="100"/>
      <c r="Z18" s="29"/>
      <c r="AA18" s="22"/>
      <c r="AB18" s="22"/>
      <c r="AC18" s="22"/>
      <c r="AD18" s="22"/>
      <c r="AE18" s="22"/>
      <c r="AF18" s="22"/>
      <c r="AG18" s="22"/>
    </row>
    <row r="19" spans="1:33" x14ac:dyDescent="0.2">
      <c r="A19" s="169" t="s">
        <v>105</v>
      </c>
      <c r="B19" s="62" t="s">
        <v>165</v>
      </c>
      <c r="C19" s="62"/>
      <c r="D19" s="62" t="s">
        <v>115</v>
      </c>
      <c r="E19" s="34"/>
      <c r="F19" s="35" t="s">
        <v>18</v>
      </c>
      <c r="G19" s="182"/>
      <c r="H19" s="116"/>
      <c r="I19" s="116"/>
      <c r="J19" s="116"/>
      <c r="K19" s="116"/>
      <c r="L19" s="116"/>
      <c r="M19" s="116"/>
      <c r="N19" s="116"/>
      <c r="O19" s="116"/>
      <c r="P19" s="116"/>
      <c r="Q19" s="116"/>
      <c r="R19" s="116"/>
      <c r="S19" s="116"/>
      <c r="T19" s="116"/>
      <c r="U19" s="116"/>
      <c r="V19" s="138">
        <f>+IF($V$9&gt;Tablas!$AG$22,X19,0)</f>
        <v>0</v>
      </c>
      <c r="W19" s="206">
        <f>+X19-V19</f>
        <v>0</v>
      </c>
      <c r="X19" s="164">
        <f t="shared" si="14"/>
        <v>0</v>
      </c>
      <c r="Y19" s="100"/>
      <c r="Z19" s="29"/>
      <c r="AA19" s="22"/>
      <c r="AB19" s="22"/>
      <c r="AC19" s="22"/>
      <c r="AD19" s="22"/>
      <c r="AE19" s="22"/>
      <c r="AF19" s="22"/>
      <c r="AG19" s="22"/>
    </row>
    <row r="20" spans="1:33" x14ac:dyDescent="0.2">
      <c r="A20" s="169" t="s">
        <v>105</v>
      </c>
      <c r="B20" s="62" t="s">
        <v>158</v>
      </c>
      <c r="C20" s="62"/>
      <c r="D20" s="62" t="s">
        <v>169</v>
      </c>
      <c r="E20" s="34"/>
      <c r="F20" s="35" t="s">
        <v>18</v>
      </c>
      <c r="G20" s="182"/>
      <c r="H20" s="116"/>
      <c r="I20" s="116"/>
      <c r="J20" s="116"/>
      <c r="K20" s="116"/>
      <c r="L20" s="116"/>
      <c r="M20" s="116"/>
      <c r="N20" s="116"/>
      <c r="O20" s="116"/>
      <c r="P20" s="116"/>
      <c r="Q20" s="116"/>
      <c r="R20" s="116"/>
      <c r="S20" s="116"/>
      <c r="T20" s="116"/>
      <c r="U20" s="116"/>
      <c r="V20" s="138">
        <f>+SUM(H20:U20)</f>
        <v>0</v>
      </c>
      <c r="W20" s="263"/>
      <c r="X20" s="164">
        <f t="shared" si="14"/>
        <v>0</v>
      </c>
      <c r="Y20" s="100"/>
      <c r="Z20" s="29"/>
      <c r="AA20" s="22"/>
      <c r="AB20" s="22"/>
      <c r="AC20" s="22"/>
      <c r="AD20" s="22"/>
      <c r="AE20" s="22"/>
      <c r="AF20" s="22"/>
      <c r="AG20" s="22"/>
    </row>
    <row r="21" spans="1:33" x14ac:dyDescent="0.2">
      <c r="A21" s="169" t="s">
        <v>105</v>
      </c>
      <c r="B21" s="62" t="s">
        <v>369</v>
      </c>
      <c r="C21" s="62"/>
      <c r="D21" s="69" t="s">
        <v>117</v>
      </c>
      <c r="E21" s="34"/>
      <c r="F21" s="35" t="s">
        <v>18</v>
      </c>
      <c r="G21" s="182"/>
      <c r="H21" s="116"/>
      <c r="I21" s="116"/>
      <c r="J21" s="116"/>
      <c r="K21" s="116"/>
      <c r="L21" s="116"/>
      <c r="M21" s="116"/>
      <c r="N21" s="116"/>
      <c r="O21" s="116"/>
      <c r="P21" s="116"/>
      <c r="Q21" s="116"/>
      <c r="R21" s="116"/>
      <c r="S21" s="116"/>
      <c r="T21" s="116"/>
      <c r="U21" s="116"/>
      <c r="V21" s="287"/>
      <c r="W21" s="139">
        <f>+X21</f>
        <v>0</v>
      </c>
      <c r="X21" s="164">
        <f t="shared" si="14"/>
        <v>0</v>
      </c>
      <c r="Y21" s="100"/>
      <c r="Z21" s="29"/>
      <c r="AA21" s="22"/>
      <c r="AB21" s="22"/>
      <c r="AC21" s="22"/>
      <c r="AD21" s="22"/>
      <c r="AE21" s="22"/>
      <c r="AF21" s="22"/>
      <c r="AG21" s="22"/>
    </row>
    <row r="22" spans="1:33" x14ac:dyDescent="0.2">
      <c r="A22" s="170" t="s">
        <v>105</v>
      </c>
      <c r="B22" s="99" t="s">
        <v>367</v>
      </c>
      <c r="C22" s="62" t="s">
        <v>284</v>
      </c>
      <c r="D22" s="62" t="s">
        <v>280</v>
      </c>
      <c r="E22" s="34"/>
      <c r="F22" s="35" t="s">
        <v>18</v>
      </c>
      <c r="G22" s="182"/>
      <c r="H22" s="116"/>
      <c r="I22" s="116"/>
      <c r="J22" s="116"/>
      <c r="K22" s="116"/>
      <c r="L22" s="116"/>
      <c r="M22" s="116"/>
      <c r="N22" s="116"/>
      <c r="O22" s="116"/>
      <c r="P22" s="116"/>
      <c r="Q22" s="116"/>
      <c r="R22" s="116"/>
      <c r="S22" s="116"/>
      <c r="T22" s="116"/>
      <c r="U22" s="116"/>
      <c r="V22" s="138">
        <f>+IF(X22+X50=0,0,ROUND(X22/(X22+X50)*V89,2))</f>
        <v>0</v>
      </c>
      <c r="W22" s="206">
        <f>+X22-V22</f>
        <v>0</v>
      </c>
      <c r="X22" s="164">
        <f t="shared" si="14"/>
        <v>0</v>
      </c>
      <c r="Y22" s="100"/>
      <c r="Z22" s="29"/>
      <c r="AA22" s="22"/>
      <c r="AB22" s="22"/>
      <c r="AC22" s="22"/>
      <c r="AD22" s="22"/>
      <c r="AE22" s="22"/>
      <c r="AF22" s="22"/>
      <c r="AG22" s="22"/>
    </row>
    <row r="23" spans="1:33" x14ac:dyDescent="0.2">
      <c r="A23" s="169" t="s">
        <v>105</v>
      </c>
      <c r="B23" s="62" t="s">
        <v>388</v>
      </c>
      <c r="C23" s="62" t="s">
        <v>285</v>
      </c>
      <c r="D23" s="62" t="s">
        <v>380</v>
      </c>
      <c r="E23" s="34"/>
      <c r="F23" s="35" t="s">
        <v>18</v>
      </c>
      <c r="G23" s="182"/>
      <c r="H23" s="116"/>
      <c r="I23" s="116"/>
      <c r="J23" s="116"/>
      <c r="K23" s="116"/>
      <c r="L23" s="116"/>
      <c r="M23" s="116"/>
      <c r="N23" s="116"/>
      <c r="O23" s="116"/>
      <c r="P23" s="116"/>
      <c r="Q23" s="116"/>
      <c r="R23" s="116"/>
      <c r="S23" s="116"/>
      <c r="T23" s="116"/>
      <c r="U23" s="116"/>
      <c r="V23" s="288">
        <f>+IF(X23=0,0,+ROUND(V92/(X23+X29),2))</f>
        <v>0</v>
      </c>
      <c r="W23" s="206">
        <f>+X23-V23</f>
        <v>0</v>
      </c>
      <c r="X23" s="164">
        <f t="shared" si="14"/>
        <v>0</v>
      </c>
      <c r="Y23" s="100"/>
      <c r="Z23" s="29"/>
      <c r="AA23" s="22"/>
      <c r="AB23" s="22"/>
      <c r="AC23" s="22"/>
      <c r="AD23" s="22"/>
      <c r="AE23" s="22"/>
      <c r="AF23" s="22"/>
      <c r="AG23" s="22"/>
    </row>
    <row r="24" spans="1:33" x14ac:dyDescent="0.2">
      <c r="A24" s="169" t="s">
        <v>105</v>
      </c>
      <c r="B24" s="62" t="s">
        <v>369</v>
      </c>
      <c r="C24" s="62"/>
      <c r="D24" s="62" t="s">
        <v>386</v>
      </c>
      <c r="E24" s="34"/>
      <c r="F24" s="35" t="s">
        <v>18</v>
      </c>
      <c r="G24" s="182"/>
      <c r="H24" s="116"/>
      <c r="I24" s="116"/>
      <c r="J24" s="116"/>
      <c r="K24" s="116"/>
      <c r="L24" s="116"/>
      <c r="M24" s="116"/>
      <c r="N24" s="116"/>
      <c r="O24" s="116"/>
      <c r="P24" s="116"/>
      <c r="Q24" s="116"/>
      <c r="R24" s="116"/>
      <c r="S24" s="116"/>
      <c r="T24" s="116"/>
      <c r="U24" s="116"/>
      <c r="V24" s="287"/>
      <c r="W24" s="139">
        <f>+SUM(H24:U24)</f>
        <v>0</v>
      </c>
      <c r="X24" s="164">
        <f t="shared" si="14"/>
        <v>0</v>
      </c>
      <c r="Y24" s="100"/>
      <c r="Z24" s="29"/>
      <c r="AA24" s="22"/>
      <c r="AB24" s="22"/>
      <c r="AC24" s="22"/>
      <c r="AD24" s="22"/>
      <c r="AE24" s="22"/>
      <c r="AF24" s="22"/>
      <c r="AG24" s="22"/>
    </row>
    <row r="25" spans="1:33" x14ac:dyDescent="0.2">
      <c r="A25" s="169" t="s">
        <v>105</v>
      </c>
      <c r="B25" s="31"/>
      <c r="C25" s="62"/>
      <c r="D25" s="300" t="s">
        <v>109</v>
      </c>
      <c r="E25" s="301"/>
      <c r="F25" s="61" t="s">
        <v>24</v>
      </c>
      <c r="G25" s="183"/>
      <c r="H25" s="65">
        <f t="shared" ref="H25:X25" si="15">+SUM(H16:H24)</f>
        <v>0</v>
      </c>
      <c r="I25" s="65">
        <f t="shared" si="15"/>
        <v>0</v>
      </c>
      <c r="J25" s="65">
        <f t="shared" si="15"/>
        <v>0</v>
      </c>
      <c r="K25" s="65">
        <f t="shared" si="15"/>
        <v>0</v>
      </c>
      <c r="L25" s="65">
        <f t="shared" si="15"/>
        <v>0</v>
      </c>
      <c r="M25" s="65">
        <f t="shared" si="15"/>
        <v>0</v>
      </c>
      <c r="N25" s="65">
        <f t="shared" si="15"/>
        <v>0</v>
      </c>
      <c r="O25" s="65">
        <f t="shared" si="15"/>
        <v>0</v>
      </c>
      <c r="P25" s="65">
        <f t="shared" si="15"/>
        <v>0</v>
      </c>
      <c r="Q25" s="65">
        <f t="shared" si="15"/>
        <v>0</v>
      </c>
      <c r="R25" s="65">
        <f t="shared" si="15"/>
        <v>0</v>
      </c>
      <c r="S25" s="65">
        <f t="shared" si="15"/>
        <v>0</v>
      </c>
      <c r="T25" s="65">
        <f t="shared" si="15"/>
        <v>0</v>
      </c>
      <c r="U25" s="65">
        <f t="shared" si="15"/>
        <v>0</v>
      </c>
      <c r="V25" s="140">
        <f t="shared" si="15"/>
        <v>0</v>
      </c>
      <c r="W25" s="141">
        <f t="shared" si="15"/>
        <v>0</v>
      </c>
      <c r="X25" s="143">
        <f t="shared" si="15"/>
        <v>0</v>
      </c>
      <c r="Y25" s="29"/>
      <c r="Z25" s="29"/>
      <c r="AA25" s="22"/>
      <c r="AB25" s="22"/>
      <c r="AC25" s="22"/>
      <c r="AD25" s="22"/>
      <c r="AE25" s="22"/>
      <c r="AF25" s="22"/>
      <c r="AG25" s="22"/>
    </row>
    <row r="26" spans="1:33" x14ac:dyDescent="0.2">
      <c r="A26" s="169" t="s">
        <v>105</v>
      </c>
      <c r="B26" s="31"/>
      <c r="C26" s="62" t="s">
        <v>96</v>
      </c>
      <c r="D26" s="305" t="s">
        <v>114</v>
      </c>
      <c r="E26" s="340"/>
      <c r="F26" s="95"/>
      <c r="G26" s="184"/>
      <c r="H26" s="96"/>
      <c r="I26" s="96"/>
      <c r="J26" s="96"/>
      <c r="K26" s="96"/>
      <c r="L26" s="96"/>
      <c r="M26" s="96"/>
      <c r="N26" s="96"/>
      <c r="O26" s="96"/>
      <c r="P26" s="96"/>
      <c r="Q26" s="96"/>
      <c r="R26" s="96"/>
      <c r="S26" s="96"/>
      <c r="T26" s="96"/>
      <c r="U26" s="96"/>
      <c r="V26" s="142"/>
      <c r="W26" s="135"/>
      <c r="X26" s="29"/>
      <c r="Y26" s="29"/>
      <c r="Z26" s="29"/>
      <c r="AA26" s="22"/>
      <c r="AB26" s="22"/>
      <c r="AC26" s="22"/>
      <c r="AD26" s="22"/>
      <c r="AE26" s="22"/>
      <c r="AF26" s="22"/>
      <c r="AG26" s="22"/>
    </row>
    <row r="27" spans="1:33" x14ac:dyDescent="0.2">
      <c r="A27" s="169" t="s">
        <v>105</v>
      </c>
      <c r="B27" s="62" t="s">
        <v>163</v>
      </c>
      <c r="C27" s="31"/>
      <c r="D27" s="60" t="s">
        <v>159</v>
      </c>
      <c r="E27" s="270"/>
      <c r="F27" s="35" t="s">
        <v>18</v>
      </c>
      <c r="G27" s="182"/>
      <c r="H27" s="116"/>
      <c r="I27" s="116"/>
      <c r="J27" s="116"/>
      <c r="K27" s="116"/>
      <c r="L27" s="116"/>
      <c r="M27" s="116"/>
      <c r="N27" s="116"/>
      <c r="O27" s="116"/>
      <c r="P27" s="116"/>
      <c r="Q27" s="116"/>
      <c r="R27" s="116"/>
      <c r="S27" s="116"/>
      <c r="T27" s="116"/>
      <c r="U27" s="116"/>
      <c r="V27" s="138">
        <f>+X27</f>
        <v>0</v>
      </c>
      <c r="W27" s="262"/>
      <c r="X27" s="164">
        <f t="shared" ref="X27:X32" si="16">+SUM(H27:U27)</f>
        <v>0</v>
      </c>
      <c r="Y27" s="29"/>
      <c r="Z27" s="29"/>
      <c r="AA27" s="22"/>
      <c r="AB27" s="22"/>
      <c r="AC27" s="22"/>
      <c r="AD27" s="22"/>
      <c r="AE27" s="22"/>
      <c r="AF27" s="22"/>
      <c r="AG27" s="22"/>
    </row>
    <row r="28" spans="1:33" x14ac:dyDescent="0.2">
      <c r="A28" s="169" t="s">
        <v>105</v>
      </c>
      <c r="B28" s="62" t="s">
        <v>164</v>
      </c>
      <c r="C28" s="31"/>
      <c r="D28" s="62" t="s">
        <v>160</v>
      </c>
      <c r="E28" s="270"/>
      <c r="F28" s="35" t="s">
        <v>18</v>
      </c>
      <c r="G28" s="182"/>
      <c r="H28" s="116"/>
      <c r="I28" s="116"/>
      <c r="J28" s="116"/>
      <c r="K28" s="116"/>
      <c r="L28" s="116"/>
      <c r="M28" s="116"/>
      <c r="N28" s="116"/>
      <c r="O28" s="116"/>
      <c r="P28" s="116"/>
      <c r="Q28" s="116"/>
      <c r="R28" s="116"/>
      <c r="S28" s="116"/>
      <c r="T28" s="116"/>
      <c r="U28" s="116"/>
      <c r="V28" s="138">
        <f>+X28</f>
        <v>0</v>
      </c>
      <c r="W28" s="262"/>
      <c r="X28" s="164">
        <f t="shared" si="16"/>
        <v>0</v>
      </c>
      <c r="Y28" s="29"/>
      <c r="Z28" s="29"/>
      <c r="AA28" s="22"/>
      <c r="AB28" s="22"/>
      <c r="AC28" s="22"/>
      <c r="AD28" s="22"/>
      <c r="AE28" s="22"/>
      <c r="AF28" s="22"/>
      <c r="AG28" s="22"/>
    </row>
    <row r="29" spans="1:33" x14ac:dyDescent="0.2">
      <c r="A29" s="169" t="s">
        <v>105</v>
      </c>
      <c r="B29" s="62" t="s">
        <v>368</v>
      </c>
      <c r="C29" s="62" t="s">
        <v>285</v>
      </c>
      <c r="D29" s="62" t="s">
        <v>380</v>
      </c>
      <c r="E29" s="34"/>
      <c r="F29" s="35" t="s">
        <v>18</v>
      </c>
      <c r="G29" s="182"/>
      <c r="H29" s="116"/>
      <c r="I29" s="116"/>
      <c r="J29" s="116"/>
      <c r="K29" s="116"/>
      <c r="L29" s="116"/>
      <c r="M29" s="116"/>
      <c r="N29" s="116"/>
      <c r="O29" s="116"/>
      <c r="P29" s="116"/>
      <c r="Q29" s="116"/>
      <c r="R29" s="116"/>
      <c r="S29" s="116"/>
      <c r="T29" s="116"/>
      <c r="U29" s="116"/>
      <c r="V29" s="289">
        <f>+IF(X29=0,0,+ROUND(X29/(X29+X57),2))</f>
        <v>0</v>
      </c>
      <c r="W29" s="206">
        <f>+X29-V29</f>
        <v>0</v>
      </c>
      <c r="X29" s="164">
        <f t="shared" si="16"/>
        <v>0</v>
      </c>
      <c r="Y29" s="29"/>
      <c r="Z29" s="29"/>
      <c r="AA29" s="22"/>
      <c r="AB29" s="22"/>
      <c r="AC29" s="22"/>
      <c r="AD29" s="22"/>
      <c r="AE29" s="22"/>
      <c r="AF29" s="22"/>
      <c r="AG29" s="22"/>
    </row>
    <row r="30" spans="1:33" x14ac:dyDescent="0.2">
      <c r="A30" s="169" t="s">
        <v>105</v>
      </c>
      <c r="B30" s="99" t="s">
        <v>371</v>
      </c>
      <c r="C30" s="62" t="s">
        <v>285</v>
      </c>
      <c r="D30" s="62" t="s">
        <v>374</v>
      </c>
      <c r="E30" s="34"/>
      <c r="F30" s="35" t="s">
        <v>18</v>
      </c>
      <c r="G30" s="182"/>
      <c r="H30" s="116"/>
      <c r="I30" s="116"/>
      <c r="J30" s="116"/>
      <c r="K30" s="116"/>
      <c r="L30" s="116"/>
      <c r="M30" s="116"/>
      <c r="N30" s="116"/>
      <c r="O30" s="116"/>
      <c r="P30" s="116"/>
      <c r="Q30" s="116"/>
      <c r="R30" s="116"/>
      <c r="S30" s="116"/>
      <c r="T30" s="116"/>
      <c r="U30" s="116"/>
      <c r="V30" s="289">
        <f>+IF(V98&lt;&gt;0,ROUND(X30/X98*V98,2),0)</f>
        <v>0</v>
      </c>
      <c r="W30" s="206">
        <f>+X30-V30</f>
        <v>0</v>
      </c>
      <c r="X30" s="164">
        <f t="shared" si="16"/>
        <v>0</v>
      </c>
      <c r="Y30" s="29"/>
      <c r="Z30" s="29"/>
      <c r="AA30" s="22"/>
      <c r="AB30" s="22"/>
      <c r="AC30" s="22"/>
      <c r="AD30" s="22"/>
      <c r="AE30" s="22"/>
      <c r="AF30" s="22"/>
      <c r="AG30" s="22"/>
    </row>
    <row r="31" spans="1:33" x14ac:dyDescent="0.2">
      <c r="A31" s="169" t="s">
        <v>105</v>
      </c>
      <c r="B31" s="99" t="s">
        <v>389</v>
      </c>
      <c r="C31" s="62" t="s">
        <v>285</v>
      </c>
      <c r="D31" s="76" t="s">
        <v>387</v>
      </c>
      <c r="E31" s="194"/>
      <c r="F31" s="35" t="s">
        <v>18</v>
      </c>
      <c r="G31" s="182"/>
      <c r="H31" s="116"/>
      <c r="I31" s="116"/>
      <c r="J31" s="116"/>
      <c r="K31" s="116"/>
      <c r="L31" s="116"/>
      <c r="M31" s="116"/>
      <c r="N31" s="116"/>
      <c r="O31" s="116"/>
      <c r="P31" s="116"/>
      <c r="Q31" s="116"/>
      <c r="R31" s="116"/>
      <c r="S31" s="116"/>
      <c r="T31" s="116"/>
      <c r="U31" s="116"/>
      <c r="V31" s="289">
        <f>+IF(V101&lt;&gt;0,+ROUND(X31/X101*V101,2),0)</f>
        <v>0</v>
      </c>
      <c r="W31" s="206">
        <f>+X31-V31</f>
        <v>0</v>
      </c>
      <c r="X31" s="164">
        <f t="shared" si="16"/>
        <v>0</v>
      </c>
      <c r="Y31" s="29"/>
      <c r="Z31" s="29"/>
      <c r="AA31" s="22"/>
      <c r="AB31" s="22"/>
      <c r="AC31" s="22"/>
      <c r="AD31" s="22"/>
      <c r="AE31" s="22"/>
      <c r="AF31" s="22"/>
      <c r="AG31" s="22"/>
    </row>
    <row r="32" spans="1:33" x14ac:dyDescent="0.2">
      <c r="A32" s="169" t="s">
        <v>105</v>
      </c>
      <c r="B32" s="62" t="s">
        <v>370</v>
      </c>
      <c r="C32" s="31"/>
      <c r="D32" s="77" t="s">
        <v>390</v>
      </c>
      <c r="E32" s="270"/>
      <c r="F32" s="35" t="s">
        <v>18</v>
      </c>
      <c r="G32" s="182"/>
      <c r="H32" s="116"/>
      <c r="I32" s="116"/>
      <c r="J32" s="116"/>
      <c r="K32" s="116"/>
      <c r="L32" s="116"/>
      <c r="M32" s="116"/>
      <c r="N32" s="116"/>
      <c r="O32" s="116"/>
      <c r="P32" s="116"/>
      <c r="Q32" s="116"/>
      <c r="R32" s="116"/>
      <c r="S32" s="116"/>
      <c r="T32" s="116"/>
      <c r="U32" s="116"/>
      <c r="V32" s="287"/>
      <c r="W32" s="139">
        <f>+X32</f>
        <v>0</v>
      </c>
      <c r="X32" s="164">
        <f t="shared" si="16"/>
        <v>0</v>
      </c>
      <c r="Y32" s="29"/>
      <c r="Z32" s="29"/>
      <c r="AA32" s="22"/>
      <c r="AB32" s="22"/>
      <c r="AC32" s="22"/>
      <c r="AD32" s="22"/>
      <c r="AE32" s="22"/>
      <c r="AF32" s="22"/>
      <c r="AG32" s="22"/>
    </row>
    <row r="33" spans="1:33" x14ac:dyDescent="0.2">
      <c r="A33" s="169" t="s">
        <v>105</v>
      </c>
      <c r="B33" s="31"/>
      <c r="C33" s="31"/>
      <c r="D33" s="300" t="s">
        <v>142</v>
      </c>
      <c r="E33" s="301"/>
      <c r="F33" s="61" t="s">
        <v>24</v>
      </c>
      <c r="G33" s="183"/>
      <c r="H33" s="65">
        <f t="shared" ref="H33:X33" si="17">+SUM(H27:H32)</f>
        <v>0</v>
      </c>
      <c r="I33" s="65">
        <f t="shared" si="17"/>
        <v>0</v>
      </c>
      <c r="J33" s="65">
        <f t="shared" si="17"/>
        <v>0</v>
      </c>
      <c r="K33" s="65">
        <f t="shared" si="17"/>
        <v>0</v>
      </c>
      <c r="L33" s="65">
        <f t="shared" si="17"/>
        <v>0</v>
      </c>
      <c r="M33" s="65">
        <f t="shared" si="17"/>
        <v>0</v>
      </c>
      <c r="N33" s="65">
        <f t="shared" si="17"/>
        <v>0</v>
      </c>
      <c r="O33" s="65">
        <f t="shared" si="17"/>
        <v>0</v>
      </c>
      <c r="P33" s="65">
        <f t="shared" si="17"/>
        <v>0</v>
      </c>
      <c r="Q33" s="65">
        <f t="shared" si="17"/>
        <v>0</v>
      </c>
      <c r="R33" s="65">
        <f t="shared" si="17"/>
        <v>0</v>
      </c>
      <c r="S33" s="65">
        <f t="shared" si="17"/>
        <v>0</v>
      </c>
      <c r="T33" s="65">
        <f t="shared" si="17"/>
        <v>0</v>
      </c>
      <c r="U33" s="65">
        <f t="shared" si="17"/>
        <v>0</v>
      </c>
      <c r="V33" s="140">
        <f t="shared" si="17"/>
        <v>0</v>
      </c>
      <c r="W33" s="141">
        <f t="shared" si="17"/>
        <v>0</v>
      </c>
      <c r="X33" s="143">
        <f t="shared" si="17"/>
        <v>0</v>
      </c>
      <c r="Y33" s="29"/>
      <c r="Z33" s="29"/>
      <c r="AA33" s="22"/>
      <c r="AB33" s="22"/>
      <c r="AC33" s="22"/>
      <c r="AD33" s="22"/>
      <c r="AE33" s="22"/>
      <c r="AF33" s="22"/>
      <c r="AG33" s="22"/>
    </row>
    <row r="34" spans="1:33" x14ac:dyDescent="0.2">
      <c r="A34" s="169" t="s">
        <v>105</v>
      </c>
      <c r="B34" s="31"/>
      <c r="C34" s="62" t="s">
        <v>141</v>
      </c>
      <c r="D34" s="305" t="s">
        <v>112</v>
      </c>
      <c r="E34" s="306"/>
      <c r="F34" s="97"/>
      <c r="G34" s="185"/>
      <c r="H34" s="47"/>
      <c r="I34" s="47"/>
      <c r="J34" s="47"/>
      <c r="K34" s="47"/>
      <c r="L34" s="47"/>
      <c r="M34" s="47"/>
      <c r="N34" s="47"/>
      <c r="O34" s="47"/>
      <c r="P34" s="47"/>
      <c r="Q34" s="47"/>
      <c r="R34" s="47"/>
      <c r="S34" s="47"/>
      <c r="T34" s="47"/>
      <c r="U34" s="47"/>
      <c r="V34" s="143"/>
      <c r="W34" s="135"/>
      <c r="X34" s="29"/>
      <c r="Y34" s="29"/>
      <c r="Z34" s="29"/>
      <c r="AA34" s="22"/>
      <c r="AB34" s="22"/>
      <c r="AC34" s="22"/>
      <c r="AD34" s="22"/>
      <c r="AE34" s="22"/>
      <c r="AF34" s="22"/>
      <c r="AG34" s="22"/>
    </row>
    <row r="35" spans="1:33" x14ac:dyDescent="0.2">
      <c r="A35" s="169" t="s">
        <v>105</v>
      </c>
      <c r="B35" s="31"/>
      <c r="C35" s="62"/>
      <c r="D35" s="31" t="s">
        <v>99</v>
      </c>
      <c r="E35" s="8"/>
      <c r="F35" s="35" t="s">
        <v>18</v>
      </c>
      <c r="G35" s="182"/>
      <c r="H35" s="117"/>
      <c r="I35" s="117"/>
      <c r="J35" s="117"/>
      <c r="K35" s="117"/>
      <c r="L35" s="117"/>
      <c r="M35" s="117"/>
      <c r="N35" s="117"/>
      <c r="O35" s="117"/>
      <c r="P35" s="117"/>
      <c r="Q35" s="117"/>
      <c r="R35" s="117"/>
      <c r="S35" s="117"/>
      <c r="T35" s="117"/>
      <c r="U35" s="117"/>
      <c r="V35" s="138">
        <f>+X35-W35</f>
        <v>0</v>
      </c>
      <c r="W35" s="139">
        <f>+IF($X$25&lt;&gt;0,ROUND(X35/$X$25*$W$25,2),0)</f>
        <v>0</v>
      </c>
      <c r="X35" s="164">
        <f t="shared" ref="X35:X40" si="18">+SUM(H35:U35)</f>
        <v>0</v>
      </c>
      <c r="Y35" s="29"/>
      <c r="Z35" s="29"/>
      <c r="AA35" s="22"/>
      <c r="AB35" s="22"/>
      <c r="AC35" s="22"/>
      <c r="AD35" s="22"/>
      <c r="AE35" s="22"/>
      <c r="AF35" s="22"/>
      <c r="AG35" s="22"/>
    </row>
    <row r="36" spans="1:33" x14ac:dyDescent="0.2">
      <c r="A36" s="169" t="s">
        <v>105</v>
      </c>
      <c r="B36" s="31"/>
      <c r="C36" s="62"/>
      <c r="D36" s="31" t="s">
        <v>100</v>
      </c>
      <c r="E36" s="8"/>
      <c r="F36" s="35" t="s">
        <v>18</v>
      </c>
      <c r="G36" s="182"/>
      <c r="H36" s="117"/>
      <c r="I36" s="117"/>
      <c r="J36" s="117"/>
      <c r="K36" s="117"/>
      <c r="L36" s="117"/>
      <c r="M36" s="117"/>
      <c r="N36" s="117"/>
      <c r="O36" s="117"/>
      <c r="P36" s="117"/>
      <c r="Q36" s="117"/>
      <c r="R36" s="117"/>
      <c r="S36" s="117"/>
      <c r="T36" s="117"/>
      <c r="U36" s="117"/>
      <c r="V36" s="138">
        <f t="shared" ref="V36:V39" si="19">+X36-W36</f>
        <v>0</v>
      </c>
      <c r="W36" s="139">
        <f t="shared" ref="W36:W39" si="20">+IF($X$25&lt;&gt;0,ROUND(X36/$X$25*$W$25,2),0)</f>
        <v>0</v>
      </c>
      <c r="X36" s="164">
        <f t="shared" si="18"/>
        <v>0</v>
      </c>
      <c r="Y36" s="29"/>
      <c r="Z36" s="29"/>
      <c r="AA36" s="22"/>
      <c r="AB36" s="22"/>
      <c r="AC36" s="22"/>
      <c r="AD36" s="22"/>
      <c r="AE36" s="22"/>
      <c r="AF36" s="22"/>
      <c r="AG36" s="22"/>
    </row>
    <row r="37" spans="1:33" x14ac:dyDescent="0.2">
      <c r="A37" s="169" t="s">
        <v>105</v>
      </c>
      <c r="B37" s="31"/>
      <c r="C37" s="62"/>
      <c r="D37" s="31" t="s">
        <v>101</v>
      </c>
      <c r="E37" s="8"/>
      <c r="F37" s="35" t="s">
        <v>18</v>
      </c>
      <c r="G37" s="182"/>
      <c r="H37" s="117"/>
      <c r="I37" s="117"/>
      <c r="J37" s="117"/>
      <c r="K37" s="117"/>
      <c r="L37" s="117"/>
      <c r="M37" s="117"/>
      <c r="N37" s="117"/>
      <c r="O37" s="117"/>
      <c r="P37" s="117"/>
      <c r="Q37" s="117"/>
      <c r="R37" s="117"/>
      <c r="S37" s="117"/>
      <c r="T37" s="117"/>
      <c r="U37" s="117"/>
      <c r="V37" s="138">
        <f t="shared" si="19"/>
        <v>0</v>
      </c>
      <c r="W37" s="139">
        <f t="shared" si="20"/>
        <v>0</v>
      </c>
      <c r="X37" s="164">
        <f t="shared" si="18"/>
        <v>0</v>
      </c>
      <c r="Y37" s="29"/>
      <c r="Z37" s="29"/>
      <c r="AA37" s="22"/>
      <c r="AB37" s="22"/>
      <c r="AC37" s="22"/>
      <c r="AD37" s="22"/>
      <c r="AE37" s="22"/>
      <c r="AF37" s="22"/>
      <c r="AG37" s="22"/>
    </row>
    <row r="38" spans="1:33" x14ac:dyDescent="0.2">
      <c r="A38" s="169" t="s">
        <v>105</v>
      </c>
      <c r="B38" s="31"/>
      <c r="C38" s="62"/>
      <c r="D38" s="31" t="s">
        <v>102</v>
      </c>
      <c r="E38" s="8"/>
      <c r="F38" s="35" t="s">
        <v>18</v>
      </c>
      <c r="G38" s="182"/>
      <c r="H38" s="117"/>
      <c r="I38" s="117"/>
      <c r="J38" s="117"/>
      <c r="K38" s="117"/>
      <c r="L38" s="117"/>
      <c r="M38" s="117"/>
      <c r="N38" s="117"/>
      <c r="O38" s="117"/>
      <c r="P38" s="117"/>
      <c r="Q38" s="117"/>
      <c r="R38" s="117"/>
      <c r="S38" s="117"/>
      <c r="T38" s="117"/>
      <c r="U38" s="117"/>
      <c r="V38" s="138">
        <f t="shared" si="19"/>
        <v>0</v>
      </c>
      <c r="W38" s="139">
        <f t="shared" si="20"/>
        <v>0</v>
      </c>
      <c r="X38" s="164">
        <f t="shared" si="18"/>
        <v>0</v>
      </c>
      <c r="Y38" s="29"/>
      <c r="Z38" s="29"/>
      <c r="AA38" s="22"/>
      <c r="AB38" s="22"/>
      <c r="AC38" s="22"/>
      <c r="AD38" s="22"/>
      <c r="AE38" s="22"/>
      <c r="AF38" s="22"/>
      <c r="AG38" s="22"/>
    </row>
    <row r="39" spans="1:33" x14ac:dyDescent="0.2">
      <c r="A39" s="169" t="s">
        <v>105</v>
      </c>
      <c r="B39" s="31"/>
      <c r="C39" s="62"/>
      <c r="D39" s="62" t="s">
        <v>144</v>
      </c>
      <c r="E39" s="8"/>
      <c r="F39" s="35" t="s">
        <v>18</v>
      </c>
      <c r="G39" s="182"/>
      <c r="H39" s="117"/>
      <c r="I39" s="117"/>
      <c r="J39" s="117"/>
      <c r="K39" s="117"/>
      <c r="L39" s="117"/>
      <c r="M39" s="117"/>
      <c r="N39" s="117"/>
      <c r="O39" s="117"/>
      <c r="P39" s="117"/>
      <c r="Q39" s="117"/>
      <c r="R39" s="117"/>
      <c r="S39" s="117"/>
      <c r="T39" s="117"/>
      <c r="U39" s="117"/>
      <c r="V39" s="138">
        <f t="shared" si="19"/>
        <v>0</v>
      </c>
      <c r="W39" s="139">
        <f t="shared" si="20"/>
        <v>0</v>
      </c>
      <c r="X39" s="164">
        <f t="shared" si="18"/>
        <v>0</v>
      </c>
      <c r="Y39" s="29"/>
      <c r="Z39" s="29"/>
      <c r="AA39" s="22"/>
      <c r="AB39" s="22"/>
      <c r="AC39" s="22"/>
      <c r="AD39" s="22"/>
      <c r="AE39" s="22"/>
      <c r="AF39" s="22"/>
      <c r="AG39" s="22"/>
    </row>
    <row r="40" spans="1:33" x14ac:dyDescent="0.2">
      <c r="A40" s="169" t="s">
        <v>105</v>
      </c>
      <c r="B40" s="31"/>
      <c r="C40" s="31"/>
      <c r="D40" s="300" t="s">
        <v>113</v>
      </c>
      <c r="E40" s="301"/>
      <c r="F40" s="61" t="s">
        <v>24</v>
      </c>
      <c r="G40" s="183"/>
      <c r="H40" s="65">
        <f>+SUM(H35:H39)</f>
        <v>0</v>
      </c>
      <c r="I40" s="65">
        <f t="shared" ref="I40:U40" si="21">+SUM(I35:I39)</f>
        <v>0</v>
      </c>
      <c r="J40" s="65">
        <f t="shared" si="21"/>
        <v>0</v>
      </c>
      <c r="K40" s="65">
        <f t="shared" si="21"/>
        <v>0</v>
      </c>
      <c r="L40" s="65">
        <f t="shared" si="21"/>
        <v>0</v>
      </c>
      <c r="M40" s="65">
        <f t="shared" si="21"/>
        <v>0</v>
      </c>
      <c r="N40" s="65">
        <f t="shared" si="21"/>
        <v>0</v>
      </c>
      <c r="O40" s="65">
        <f t="shared" si="21"/>
        <v>0</v>
      </c>
      <c r="P40" s="65">
        <f t="shared" si="21"/>
        <v>0</v>
      </c>
      <c r="Q40" s="65">
        <f t="shared" si="21"/>
        <v>0</v>
      </c>
      <c r="R40" s="65">
        <f t="shared" si="21"/>
        <v>0</v>
      </c>
      <c r="S40" s="65">
        <f t="shared" si="21"/>
        <v>0</v>
      </c>
      <c r="T40" s="65">
        <f t="shared" si="21"/>
        <v>0</v>
      </c>
      <c r="U40" s="65">
        <f t="shared" si="21"/>
        <v>0</v>
      </c>
      <c r="V40" s="140">
        <f t="shared" ref="V40" si="22">+SUM(H40:U40)-W40</f>
        <v>0</v>
      </c>
      <c r="W40" s="141">
        <f>-SUM(H116:U116)</f>
        <v>0</v>
      </c>
      <c r="X40" s="143">
        <f t="shared" si="18"/>
        <v>0</v>
      </c>
      <c r="Y40" s="29"/>
      <c r="Z40" s="29"/>
      <c r="AA40" s="22"/>
      <c r="AB40" s="22"/>
      <c r="AC40" s="22"/>
      <c r="AD40" s="22"/>
      <c r="AE40" s="22"/>
      <c r="AF40" s="22"/>
      <c r="AG40" s="22"/>
    </row>
    <row r="41" spans="1:33" x14ac:dyDescent="0.2">
      <c r="A41" s="169" t="s">
        <v>105</v>
      </c>
      <c r="B41" s="31"/>
      <c r="C41" s="66" t="s">
        <v>206</v>
      </c>
      <c r="D41" s="44"/>
      <c r="E41" s="270"/>
      <c r="F41" s="61" t="s">
        <v>24</v>
      </c>
      <c r="G41" s="183"/>
      <c r="H41" s="65">
        <f t="shared" ref="H41:X41" si="23">+H25+H33-H40</f>
        <v>0</v>
      </c>
      <c r="I41" s="65">
        <f t="shared" si="23"/>
        <v>0</v>
      </c>
      <c r="J41" s="65">
        <f t="shared" si="23"/>
        <v>0</v>
      </c>
      <c r="K41" s="65">
        <f t="shared" si="23"/>
        <v>0</v>
      </c>
      <c r="L41" s="65">
        <f t="shared" si="23"/>
        <v>0</v>
      </c>
      <c r="M41" s="65">
        <f t="shared" si="23"/>
        <v>0</v>
      </c>
      <c r="N41" s="65">
        <f t="shared" si="23"/>
        <v>0</v>
      </c>
      <c r="O41" s="65">
        <f t="shared" si="23"/>
        <v>0</v>
      </c>
      <c r="P41" s="65">
        <f t="shared" si="23"/>
        <v>0</v>
      </c>
      <c r="Q41" s="65">
        <f t="shared" si="23"/>
        <v>0</v>
      </c>
      <c r="R41" s="65">
        <f t="shared" si="23"/>
        <v>0</v>
      </c>
      <c r="S41" s="65">
        <f t="shared" si="23"/>
        <v>0</v>
      </c>
      <c r="T41" s="65">
        <f t="shared" si="23"/>
        <v>0</v>
      </c>
      <c r="U41" s="65">
        <f t="shared" si="23"/>
        <v>0</v>
      </c>
      <c r="V41" s="140">
        <f t="shared" si="23"/>
        <v>0</v>
      </c>
      <c r="W41" s="141">
        <f t="shared" si="23"/>
        <v>0</v>
      </c>
      <c r="X41" s="164">
        <f t="shared" si="23"/>
        <v>0</v>
      </c>
      <c r="Y41" s="29"/>
      <c r="Z41" s="29"/>
      <c r="AA41" s="22"/>
      <c r="AB41" s="22"/>
      <c r="AC41" s="22"/>
      <c r="AD41" s="22"/>
      <c r="AE41" s="22"/>
      <c r="AF41" s="22"/>
      <c r="AG41" s="22"/>
    </row>
    <row r="42" spans="1:33" x14ac:dyDescent="0.2">
      <c r="A42" s="170" t="s">
        <v>104</v>
      </c>
      <c r="B42" s="31"/>
      <c r="C42" s="297" t="s">
        <v>143</v>
      </c>
      <c r="D42" s="298"/>
      <c r="E42" s="298"/>
      <c r="F42" s="299"/>
      <c r="G42" s="286"/>
      <c r="H42" s="54"/>
      <c r="I42" s="54"/>
      <c r="J42" s="54"/>
      <c r="K42" s="54"/>
      <c r="L42" s="54"/>
      <c r="M42" s="54"/>
      <c r="N42" s="54"/>
      <c r="O42" s="54"/>
      <c r="P42" s="54"/>
      <c r="Q42" s="54"/>
      <c r="R42" s="54"/>
      <c r="S42" s="54"/>
      <c r="T42" s="54"/>
      <c r="U42" s="54"/>
      <c r="V42" s="54"/>
      <c r="W42" s="135"/>
      <c r="X42" s="267"/>
      <c r="Y42" s="29"/>
      <c r="Z42" s="29"/>
      <c r="AA42" s="22"/>
      <c r="AB42" s="22"/>
      <c r="AC42" s="22"/>
      <c r="AD42" s="22"/>
      <c r="AE42" s="22"/>
      <c r="AF42" s="22"/>
      <c r="AG42" s="22"/>
    </row>
    <row r="43" spans="1:33" x14ac:dyDescent="0.2">
      <c r="A43" s="170" t="s">
        <v>104</v>
      </c>
      <c r="B43" s="31"/>
      <c r="C43" s="75" t="s">
        <v>145</v>
      </c>
      <c r="D43" s="302" t="s">
        <v>111</v>
      </c>
      <c r="E43" s="303"/>
      <c r="F43" s="118"/>
      <c r="G43" s="181"/>
      <c r="H43" s="33"/>
      <c r="I43" s="90"/>
      <c r="J43" s="90"/>
      <c r="K43" s="90"/>
      <c r="L43" s="90"/>
      <c r="M43" s="90"/>
      <c r="N43" s="90"/>
      <c r="O43" s="90"/>
      <c r="P43" s="90"/>
      <c r="Q43" s="90"/>
      <c r="R43" s="90"/>
      <c r="S43" s="90"/>
      <c r="T43" s="90"/>
      <c r="U43" s="90"/>
      <c r="V43" s="90"/>
      <c r="W43" s="135"/>
      <c r="X43" s="29"/>
      <c r="Y43" s="29"/>
      <c r="Z43" s="29"/>
      <c r="AA43" s="22"/>
      <c r="AB43" s="22"/>
      <c r="AC43" s="22"/>
      <c r="AD43" s="22"/>
      <c r="AE43" s="22"/>
      <c r="AF43" s="22"/>
      <c r="AG43" s="22"/>
    </row>
    <row r="44" spans="1:33" x14ac:dyDescent="0.2">
      <c r="A44" s="170" t="s">
        <v>104</v>
      </c>
      <c r="B44" s="62" t="s">
        <v>161</v>
      </c>
      <c r="C44" s="31"/>
      <c r="D44" s="60" t="s">
        <v>110</v>
      </c>
      <c r="E44" s="60"/>
      <c r="F44" s="35" t="s">
        <v>18</v>
      </c>
      <c r="G44" s="182"/>
      <c r="H44" s="117"/>
      <c r="I44" s="117"/>
      <c r="J44" s="117"/>
      <c r="K44" s="117"/>
      <c r="L44" s="117"/>
      <c r="M44" s="117"/>
      <c r="N44" s="117"/>
      <c r="O44" s="117"/>
      <c r="P44" s="117"/>
      <c r="Q44" s="117"/>
      <c r="R44" s="117"/>
      <c r="S44" s="117"/>
      <c r="T44" s="117"/>
      <c r="U44" s="117"/>
      <c r="V44" s="138">
        <f>+X44</f>
        <v>0</v>
      </c>
      <c r="W44" s="262"/>
      <c r="X44" s="164">
        <f t="shared" ref="X44:X52" si="24">+SUM(H44:U44)</f>
        <v>0</v>
      </c>
      <c r="Y44" s="100"/>
      <c r="Z44" s="29"/>
      <c r="AA44" s="22"/>
      <c r="AB44" s="22"/>
      <c r="AC44" s="22"/>
      <c r="AD44" s="22"/>
      <c r="AE44" s="22"/>
      <c r="AF44" s="22"/>
      <c r="AG44" s="22"/>
    </row>
    <row r="45" spans="1:33" x14ac:dyDescent="0.2">
      <c r="A45" s="170" t="s">
        <v>104</v>
      </c>
      <c r="B45" s="62" t="s">
        <v>162</v>
      </c>
      <c r="C45" s="31"/>
      <c r="D45" s="62" t="s">
        <v>140</v>
      </c>
      <c r="E45" s="34"/>
      <c r="F45" s="35" t="s">
        <v>18</v>
      </c>
      <c r="G45" s="182"/>
      <c r="H45" s="117"/>
      <c r="I45" s="117"/>
      <c r="J45" s="117"/>
      <c r="K45" s="117"/>
      <c r="L45" s="117"/>
      <c r="M45" s="117"/>
      <c r="N45" s="117"/>
      <c r="O45" s="117"/>
      <c r="P45" s="117"/>
      <c r="Q45" s="117"/>
      <c r="R45" s="117"/>
      <c r="S45" s="117"/>
      <c r="T45" s="117"/>
      <c r="U45" s="117"/>
      <c r="V45" s="138">
        <f>+X45</f>
        <v>0</v>
      </c>
      <c r="W45" s="262"/>
      <c r="X45" s="164">
        <f t="shared" si="24"/>
        <v>0</v>
      </c>
      <c r="Y45" s="100"/>
      <c r="Z45" s="29"/>
      <c r="AA45" s="22"/>
      <c r="AB45" s="22"/>
      <c r="AC45" s="22"/>
      <c r="AD45" s="22"/>
      <c r="AE45" s="22"/>
      <c r="AF45" s="22"/>
      <c r="AG45" s="22"/>
    </row>
    <row r="46" spans="1:33" x14ac:dyDescent="0.2">
      <c r="A46" s="170" t="s">
        <v>104</v>
      </c>
      <c r="B46" s="62" t="s">
        <v>165</v>
      </c>
      <c r="C46" s="62"/>
      <c r="D46" s="62" t="s">
        <v>116</v>
      </c>
      <c r="E46" s="34"/>
      <c r="F46" s="35" t="s">
        <v>18</v>
      </c>
      <c r="G46" s="182"/>
      <c r="H46" s="117"/>
      <c r="I46" s="117"/>
      <c r="J46" s="117"/>
      <c r="K46" s="117"/>
      <c r="L46" s="117"/>
      <c r="M46" s="117"/>
      <c r="N46" s="117"/>
      <c r="O46" s="117"/>
      <c r="P46" s="117"/>
      <c r="Q46" s="117"/>
      <c r="R46" s="117"/>
      <c r="S46" s="117"/>
      <c r="T46" s="117"/>
      <c r="U46" s="117"/>
      <c r="V46" s="138">
        <f>+IF($V$9&gt;Tablas!$AG$22,X46,0)</f>
        <v>0</v>
      </c>
      <c r="W46" s="206">
        <f>+X46-V46</f>
        <v>0</v>
      </c>
      <c r="X46" s="164">
        <f t="shared" si="24"/>
        <v>0</v>
      </c>
      <c r="Y46" s="100"/>
      <c r="Z46" s="29"/>
      <c r="AA46" s="22"/>
      <c r="AB46" s="22"/>
      <c r="AC46" s="22"/>
      <c r="AD46" s="22"/>
      <c r="AE46" s="22"/>
      <c r="AF46" s="22"/>
      <c r="AG46" s="22"/>
    </row>
    <row r="47" spans="1:33" x14ac:dyDescent="0.2">
      <c r="A47" s="170" t="s">
        <v>104</v>
      </c>
      <c r="B47" s="62" t="s">
        <v>165</v>
      </c>
      <c r="C47" s="62"/>
      <c r="D47" s="62" t="s">
        <v>115</v>
      </c>
      <c r="E47" s="34"/>
      <c r="F47" s="35" t="s">
        <v>18</v>
      </c>
      <c r="G47" s="182"/>
      <c r="H47" s="117"/>
      <c r="I47" s="117"/>
      <c r="J47" s="117"/>
      <c r="K47" s="117"/>
      <c r="L47" s="117"/>
      <c r="M47" s="117"/>
      <c r="N47" s="117"/>
      <c r="O47" s="117"/>
      <c r="P47" s="117"/>
      <c r="Q47" s="117"/>
      <c r="R47" s="117"/>
      <c r="S47" s="117"/>
      <c r="T47" s="117"/>
      <c r="U47" s="117"/>
      <c r="V47" s="138">
        <f>+IF($V$9&gt;Tablas!$AG$22,X47,0)</f>
        <v>0</v>
      </c>
      <c r="W47" s="206">
        <f>+X47-V47</f>
        <v>0</v>
      </c>
      <c r="X47" s="164">
        <f t="shared" si="24"/>
        <v>0</v>
      </c>
      <c r="Y47" s="100"/>
      <c r="Z47" s="29"/>
      <c r="AA47" s="22"/>
      <c r="AB47" s="22"/>
      <c r="AC47" s="22"/>
      <c r="AD47" s="22"/>
      <c r="AE47" s="22"/>
      <c r="AF47" s="22"/>
      <c r="AG47" s="22"/>
    </row>
    <row r="48" spans="1:33" x14ac:dyDescent="0.2">
      <c r="A48" s="170" t="s">
        <v>104</v>
      </c>
      <c r="B48" s="62" t="s">
        <v>158</v>
      </c>
      <c r="C48" s="62"/>
      <c r="D48" s="62" t="s">
        <v>169</v>
      </c>
      <c r="E48" s="34"/>
      <c r="F48" s="35" t="s">
        <v>18</v>
      </c>
      <c r="G48" s="182"/>
      <c r="H48" s="117"/>
      <c r="I48" s="117"/>
      <c r="J48" s="117"/>
      <c r="K48" s="117"/>
      <c r="L48" s="117"/>
      <c r="M48" s="117"/>
      <c r="N48" s="117"/>
      <c r="O48" s="117"/>
      <c r="P48" s="117"/>
      <c r="Q48" s="117"/>
      <c r="R48" s="117"/>
      <c r="S48" s="117"/>
      <c r="T48" s="117"/>
      <c r="U48" s="117"/>
      <c r="V48" s="138">
        <f>+X48</f>
        <v>0</v>
      </c>
      <c r="W48" s="262"/>
      <c r="X48" s="164">
        <f t="shared" si="24"/>
        <v>0</v>
      </c>
      <c r="Y48" s="100"/>
      <c r="Z48" s="29"/>
      <c r="AA48" s="22"/>
      <c r="AB48" s="22"/>
      <c r="AC48" s="22"/>
      <c r="AD48" s="22"/>
      <c r="AE48" s="22"/>
      <c r="AF48" s="22"/>
      <c r="AG48" s="22"/>
    </row>
    <row r="49" spans="1:33" x14ac:dyDescent="0.2">
      <c r="A49" s="170" t="s">
        <v>104</v>
      </c>
      <c r="B49" s="62" t="s">
        <v>369</v>
      </c>
      <c r="C49" s="62"/>
      <c r="D49" s="69" t="s">
        <v>117</v>
      </c>
      <c r="E49" s="34"/>
      <c r="F49" s="35" t="s">
        <v>18</v>
      </c>
      <c r="G49" s="182"/>
      <c r="H49" s="117"/>
      <c r="I49" s="117"/>
      <c r="J49" s="117"/>
      <c r="K49" s="117"/>
      <c r="L49" s="117"/>
      <c r="M49" s="117"/>
      <c r="N49" s="117"/>
      <c r="O49" s="117"/>
      <c r="P49" s="117"/>
      <c r="Q49" s="117"/>
      <c r="R49" s="117"/>
      <c r="S49" s="117"/>
      <c r="T49" s="117"/>
      <c r="U49" s="117"/>
      <c r="V49" s="287"/>
      <c r="W49" s="139">
        <f>+X49</f>
        <v>0</v>
      </c>
      <c r="X49" s="164">
        <f t="shared" si="24"/>
        <v>0</v>
      </c>
      <c r="Y49" s="100"/>
      <c r="Z49" s="29"/>
      <c r="AA49" s="22"/>
      <c r="AB49" s="22"/>
      <c r="AC49" s="22"/>
      <c r="AD49" s="22"/>
      <c r="AE49" s="22"/>
      <c r="AF49" s="22"/>
      <c r="AG49" s="22"/>
    </row>
    <row r="50" spans="1:33" x14ac:dyDescent="0.2">
      <c r="A50" s="170" t="s">
        <v>104</v>
      </c>
      <c r="B50" s="99" t="s">
        <v>367</v>
      </c>
      <c r="C50" s="62" t="s">
        <v>284</v>
      </c>
      <c r="D50" s="62" t="s">
        <v>280</v>
      </c>
      <c r="E50" s="194"/>
      <c r="F50" s="35"/>
      <c r="G50" s="182"/>
      <c r="H50" s="117"/>
      <c r="I50" s="117"/>
      <c r="J50" s="117"/>
      <c r="K50" s="117"/>
      <c r="L50" s="117"/>
      <c r="M50" s="117"/>
      <c r="N50" s="117"/>
      <c r="O50" s="117"/>
      <c r="P50" s="117"/>
      <c r="Q50" s="117"/>
      <c r="R50" s="117"/>
      <c r="S50" s="117"/>
      <c r="T50" s="117"/>
      <c r="U50" s="117"/>
      <c r="V50" s="138">
        <f>+V89-V22</f>
        <v>0</v>
      </c>
      <c r="W50" s="139">
        <f>+X50-V50</f>
        <v>0</v>
      </c>
      <c r="X50" s="164">
        <f t="shared" si="24"/>
        <v>0</v>
      </c>
      <c r="Y50" s="100"/>
      <c r="Z50" s="29"/>
      <c r="AA50" s="22"/>
      <c r="AB50" s="22"/>
      <c r="AC50" s="22"/>
      <c r="AD50" s="22"/>
      <c r="AE50" s="22"/>
      <c r="AF50" s="22"/>
      <c r="AG50" s="22"/>
    </row>
    <row r="51" spans="1:33" x14ac:dyDescent="0.2">
      <c r="A51" s="170" t="s">
        <v>104</v>
      </c>
      <c r="B51" s="62" t="s">
        <v>388</v>
      </c>
      <c r="C51" s="62" t="s">
        <v>285</v>
      </c>
      <c r="D51" s="62" t="s">
        <v>380</v>
      </c>
      <c r="E51" s="34"/>
      <c r="F51" s="35" t="s">
        <v>18</v>
      </c>
      <c r="G51" s="182"/>
      <c r="H51" s="117"/>
      <c r="I51" s="117"/>
      <c r="J51" s="117"/>
      <c r="K51" s="117"/>
      <c r="L51" s="117"/>
      <c r="M51" s="117"/>
      <c r="N51" s="117"/>
      <c r="O51" s="117"/>
      <c r="P51" s="117"/>
      <c r="Q51" s="117"/>
      <c r="R51" s="117"/>
      <c r="S51" s="117"/>
      <c r="T51" s="117"/>
      <c r="U51" s="117"/>
      <c r="V51" s="138">
        <f>+V92-V23</f>
        <v>0</v>
      </c>
      <c r="W51" s="139">
        <f>+X51-V51</f>
        <v>0</v>
      </c>
      <c r="X51" s="164">
        <f t="shared" si="24"/>
        <v>0</v>
      </c>
      <c r="Y51" s="100"/>
      <c r="Z51" s="29"/>
      <c r="AA51" s="22"/>
      <c r="AB51" s="22"/>
      <c r="AC51" s="22"/>
      <c r="AD51" s="22"/>
      <c r="AE51" s="22"/>
      <c r="AF51" s="22"/>
      <c r="AG51" s="22"/>
    </row>
    <row r="52" spans="1:33" x14ac:dyDescent="0.2">
      <c r="A52" s="170" t="s">
        <v>104</v>
      </c>
      <c r="B52" s="62" t="s">
        <v>369</v>
      </c>
      <c r="C52" s="62"/>
      <c r="D52" s="62" t="s">
        <v>386</v>
      </c>
      <c r="E52" s="34"/>
      <c r="F52" s="35" t="s">
        <v>18</v>
      </c>
      <c r="G52" s="182"/>
      <c r="H52" s="117"/>
      <c r="I52" s="117"/>
      <c r="J52" s="117"/>
      <c r="K52" s="117"/>
      <c r="L52" s="117"/>
      <c r="M52" s="117"/>
      <c r="N52" s="117"/>
      <c r="O52" s="117"/>
      <c r="P52" s="117"/>
      <c r="Q52" s="117"/>
      <c r="R52" s="117"/>
      <c r="S52" s="117"/>
      <c r="T52" s="117"/>
      <c r="U52" s="117"/>
      <c r="V52" s="287"/>
      <c r="W52" s="139">
        <f>+SUM(H52:U52)</f>
        <v>0</v>
      </c>
      <c r="X52" s="164">
        <f t="shared" si="24"/>
        <v>0</v>
      </c>
      <c r="Y52" s="100"/>
      <c r="Z52" s="29"/>
      <c r="AA52" s="22"/>
      <c r="AB52" s="22"/>
      <c r="AC52" s="22"/>
      <c r="AD52" s="22"/>
      <c r="AE52" s="22"/>
      <c r="AF52" s="22"/>
      <c r="AG52" s="22"/>
    </row>
    <row r="53" spans="1:33" x14ac:dyDescent="0.2">
      <c r="A53" s="170" t="s">
        <v>104</v>
      </c>
      <c r="B53" s="31"/>
      <c r="C53" s="62" t="s">
        <v>146</v>
      </c>
      <c r="D53" s="300" t="s">
        <v>109</v>
      </c>
      <c r="E53" s="301"/>
      <c r="F53" s="61" t="s">
        <v>24</v>
      </c>
      <c r="G53" s="183"/>
      <c r="H53" s="65">
        <f t="shared" ref="H53:X53" si="25">+SUM(H44:H52)</f>
        <v>0</v>
      </c>
      <c r="I53" s="65">
        <f t="shared" si="25"/>
        <v>0</v>
      </c>
      <c r="J53" s="65">
        <f t="shared" si="25"/>
        <v>0</v>
      </c>
      <c r="K53" s="65">
        <f t="shared" si="25"/>
        <v>0</v>
      </c>
      <c r="L53" s="65">
        <f t="shared" si="25"/>
        <v>0</v>
      </c>
      <c r="M53" s="65">
        <f t="shared" si="25"/>
        <v>0</v>
      </c>
      <c r="N53" s="65">
        <f t="shared" si="25"/>
        <v>0</v>
      </c>
      <c r="O53" s="65">
        <f t="shared" si="25"/>
        <v>0</v>
      </c>
      <c r="P53" s="65">
        <f t="shared" si="25"/>
        <v>0</v>
      </c>
      <c r="Q53" s="65">
        <f t="shared" si="25"/>
        <v>0</v>
      </c>
      <c r="R53" s="65">
        <f t="shared" si="25"/>
        <v>0</v>
      </c>
      <c r="S53" s="65">
        <f t="shared" si="25"/>
        <v>0</v>
      </c>
      <c r="T53" s="65">
        <f t="shared" si="25"/>
        <v>0</v>
      </c>
      <c r="U53" s="65">
        <f t="shared" si="25"/>
        <v>0</v>
      </c>
      <c r="V53" s="140">
        <f t="shared" si="25"/>
        <v>0</v>
      </c>
      <c r="W53" s="141">
        <f t="shared" si="25"/>
        <v>0</v>
      </c>
      <c r="X53" s="143">
        <f t="shared" si="25"/>
        <v>0</v>
      </c>
      <c r="Y53" s="29"/>
      <c r="Z53" s="29"/>
      <c r="AA53" s="22"/>
      <c r="AB53" s="22"/>
      <c r="AC53" s="22"/>
      <c r="AD53" s="22"/>
      <c r="AE53" s="22"/>
      <c r="AF53" s="22"/>
      <c r="AG53" s="22"/>
    </row>
    <row r="54" spans="1:33" x14ac:dyDescent="0.2">
      <c r="A54" s="170" t="s">
        <v>104</v>
      </c>
      <c r="B54" s="31"/>
      <c r="C54" s="31"/>
      <c r="D54" s="305" t="s">
        <v>114</v>
      </c>
      <c r="E54" s="340"/>
      <c r="F54" s="95"/>
      <c r="G54" s="184"/>
      <c r="H54" s="96"/>
      <c r="I54" s="47"/>
      <c r="J54" s="47"/>
      <c r="K54" s="47"/>
      <c r="L54" s="47"/>
      <c r="M54" s="47"/>
      <c r="N54" s="47"/>
      <c r="O54" s="47"/>
      <c r="P54" s="47"/>
      <c r="Q54" s="47"/>
      <c r="R54" s="47"/>
      <c r="S54" s="47"/>
      <c r="T54" s="47"/>
      <c r="U54" s="47"/>
      <c r="V54" s="146"/>
      <c r="W54" s="135"/>
      <c r="X54" s="29"/>
      <c r="Y54" s="29"/>
      <c r="Z54" s="29"/>
      <c r="AA54" s="22"/>
      <c r="AB54" s="22"/>
      <c r="AC54" s="22"/>
      <c r="AD54" s="22"/>
      <c r="AE54" s="22"/>
      <c r="AF54" s="22"/>
      <c r="AG54" s="22"/>
    </row>
    <row r="55" spans="1:33" x14ac:dyDescent="0.2">
      <c r="A55" s="170" t="s">
        <v>104</v>
      </c>
      <c r="B55" s="62" t="s">
        <v>163</v>
      </c>
      <c r="C55" s="31"/>
      <c r="D55" s="60" t="s">
        <v>159</v>
      </c>
      <c r="E55" s="270"/>
      <c r="F55" s="35" t="s">
        <v>18</v>
      </c>
      <c r="G55" s="182"/>
      <c r="H55" s="116"/>
      <c r="I55" s="116"/>
      <c r="J55" s="116"/>
      <c r="K55" s="116"/>
      <c r="L55" s="116"/>
      <c r="M55" s="116"/>
      <c r="N55" s="116"/>
      <c r="O55" s="116"/>
      <c r="P55" s="116"/>
      <c r="Q55" s="116"/>
      <c r="R55" s="116"/>
      <c r="S55" s="116"/>
      <c r="T55" s="116"/>
      <c r="U55" s="116"/>
      <c r="V55" s="138">
        <f>+X55</f>
        <v>0</v>
      </c>
      <c r="W55" s="262"/>
      <c r="X55" s="164">
        <f t="shared" ref="X55:X58" si="26">+SUM(H55:U55)</f>
        <v>0</v>
      </c>
      <c r="Y55" s="29"/>
      <c r="Z55" s="29"/>
      <c r="AA55" s="22"/>
      <c r="AB55" s="22"/>
      <c r="AC55" s="22"/>
      <c r="AD55" s="22"/>
      <c r="AE55" s="22"/>
      <c r="AF55" s="22"/>
      <c r="AG55" s="22"/>
    </row>
    <row r="56" spans="1:33" x14ac:dyDescent="0.2">
      <c r="A56" s="170" t="s">
        <v>104</v>
      </c>
      <c r="B56" s="62" t="s">
        <v>164</v>
      </c>
      <c r="C56" s="31"/>
      <c r="D56" s="62" t="s">
        <v>160</v>
      </c>
      <c r="E56" s="270"/>
      <c r="F56" s="35" t="s">
        <v>18</v>
      </c>
      <c r="G56" s="182"/>
      <c r="H56" s="116"/>
      <c r="I56" s="116"/>
      <c r="J56" s="116"/>
      <c r="K56" s="116"/>
      <c r="L56" s="116"/>
      <c r="M56" s="116"/>
      <c r="N56" s="116"/>
      <c r="O56" s="116"/>
      <c r="P56" s="116"/>
      <c r="Q56" s="116"/>
      <c r="R56" s="116"/>
      <c r="S56" s="116"/>
      <c r="T56" s="116"/>
      <c r="U56" s="116"/>
      <c r="V56" s="138">
        <f>+X56</f>
        <v>0</v>
      </c>
      <c r="W56" s="262"/>
      <c r="X56" s="164">
        <f t="shared" si="26"/>
        <v>0</v>
      </c>
      <c r="Y56" s="29"/>
      <c r="Z56" s="29"/>
      <c r="AA56" s="22"/>
      <c r="AB56" s="22"/>
      <c r="AC56" s="22"/>
      <c r="AD56" s="22"/>
      <c r="AE56" s="22"/>
      <c r="AF56" s="22"/>
      <c r="AG56" s="22"/>
    </row>
    <row r="57" spans="1:33" x14ac:dyDescent="0.2">
      <c r="A57" s="170" t="s">
        <v>104</v>
      </c>
      <c r="B57" s="62" t="s">
        <v>368</v>
      </c>
      <c r="C57" s="62" t="s">
        <v>285</v>
      </c>
      <c r="D57" s="62" t="s">
        <v>380</v>
      </c>
      <c r="E57" s="34"/>
      <c r="F57" s="35" t="s">
        <v>18</v>
      </c>
      <c r="G57" s="182"/>
      <c r="H57" s="116"/>
      <c r="I57" s="116"/>
      <c r="J57" s="116"/>
      <c r="K57" s="116"/>
      <c r="L57" s="116"/>
      <c r="M57" s="116"/>
      <c r="N57" s="116"/>
      <c r="O57" s="116"/>
      <c r="P57" s="116"/>
      <c r="Q57" s="116"/>
      <c r="R57" s="116"/>
      <c r="S57" s="116"/>
      <c r="T57" s="116"/>
      <c r="U57" s="116"/>
      <c r="V57" s="289">
        <f>+V93-V29</f>
        <v>0</v>
      </c>
      <c r="W57" s="139">
        <f>+X57-V57</f>
        <v>0</v>
      </c>
      <c r="X57" s="164">
        <f t="shared" si="26"/>
        <v>0</v>
      </c>
      <c r="Y57" s="29"/>
      <c r="Z57" s="29"/>
      <c r="AA57" s="22"/>
      <c r="AB57" s="22"/>
      <c r="AC57" s="22"/>
      <c r="AD57" s="22"/>
      <c r="AE57" s="22"/>
      <c r="AF57" s="22"/>
      <c r="AG57" s="22"/>
    </row>
    <row r="58" spans="1:33" x14ac:dyDescent="0.2">
      <c r="A58" s="170" t="s">
        <v>104</v>
      </c>
      <c r="B58" s="99" t="s">
        <v>371</v>
      </c>
      <c r="C58" s="62" t="s">
        <v>285</v>
      </c>
      <c r="D58" s="62" t="s">
        <v>374</v>
      </c>
      <c r="E58" s="34"/>
      <c r="F58" s="35" t="s">
        <v>18</v>
      </c>
      <c r="G58" s="182"/>
      <c r="H58" s="116"/>
      <c r="I58" s="116"/>
      <c r="J58" s="116"/>
      <c r="K58" s="116"/>
      <c r="L58" s="116"/>
      <c r="M58" s="116"/>
      <c r="N58" s="116"/>
      <c r="O58" s="116"/>
      <c r="P58" s="116"/>
      <c r="Q58" s="116"/>
      <c r="R58" s="116"/>
      <c r="S58" s="116"/>
      <c r="T58" s="116"/>
      <c r="U58" s="116"/>
      <c r="V58" s="138">
        <f>+V98-V22</f>
        <v>0</v>
      </c>
      <c r="W58" s="139">
        <f>+X58-V58</f>
        <v>0</v>
      </c>
      <c r="X58" s="164">
        <f t="shared" si="26"/>
        <v>0</v>
      </c>
      <c r="Y58" s="29"/>
      <c r="Z58" s="29"/>
      <c r="AA58" s="22"/>
      <c r="AB58" s="22"/>
      <c r="AC58" s="22"/>
      <c r="AD58" s="22"/>
      <c r="AE58" s="22"/>
      <c r="AF58" s="22"/>
      <c r="AG58" s="22"/>
    </row>
    <row r="59" spans="1:33" x14ac:dyDescent="0.2">
      <c r="A59" s="170" t="s">
        <v>104</v>
      </c>
      <c r="B59" s="99" t="s">
        <v>389</v>
      </c>
      <c r="C59" s="62" t="s">
        <v>285</v>
      </c>
      <c r="D59" s="76" t="s">
        <v>387</v>
      </c>
      <c r="E59" s="194"/>
      <c r="F59" s="35" t="s">
        <v>18</v>
      </c>
      <c r="G59" s="182"/>
      <c r="H59" s="116"/>
      <c r="I59" s="116"/>
      <c r="J59" s="116"/>
      <c r="K59" s="116"/>
      <c r="L59" s="116"/>
      <c r="M59" s="116"/>
      <c r="N59" s="116"/>
      <c r="O59" s="116"/>
      <c r="P59" s="116"/>
      <c r="Q59" s="116"/>
      <c r="R59" s="116"/>
      <c r="S59" s="116"/>
      <c r="T59" s="116"/>
      <c r="U59" s="116"/>
      <c r="V59" s="289">
        <f>+V101-V31</f>
        <v>0</v>
      </c>
      <c r="W59" s="139">
        <f>+X59-V59</f>
        <v>0</v>
      </c>
      <c r="X59" s="164">
        <f>+SUM(H59:U59)</f>
        <v>0</v>
      </c>
      <c r="Y59" s="29"/>
      <c r="Z59" s="29"/>
      <c r="AA59" s="22"/>
      <c r="AB59" s="22"/>
      <c r="AC59" s="22"/>
      <c r="AD59" s="22"/>
      <c r="AE59" s="22"/>
      <c r="AF59" s="22"/>
      <c r="AG59" s="22"/>
    </row>
    <row r="60" spans="1:33" x14ac:dyDescent="0.2">
      <c r="A60" s="170" t="s">
        <v>104</v>
      </c>
      <c r="B60" s="62" t="s">
        <v>370</v>
      </c>
      <c r="C60" s="31"/>
      <c r="D60" s="77" t="s">
        <v>390</v>
      </c>
      <c r="E60" s="194"/>
      <c r="F60" s="61" t="s">
        <v>18</v>
      </c>
      <c r="G60" s="182"/>
      <c r="H60" s="116"/>
      <c r="I60" s="116"/>
      <c r="J60" s="116"/>
      <c r="K60" s="116"/>
      <c r="L60" s="116"/>
      <c r="M60" s="116"/>
      <c r="N60" s="116"/>
      <c r="O60" s="116"/>
      <c r="P60" s="116"/>
      <c r="Q60" s="116"/>
      <c r="R60" s="116"/>
      <c r="S60" s="116"/>
      <c r="T60" s="116"/>
      <c r="U60" s="116"/>
      <c r="V60" s="287"/>
      <c r="W60" s="139">
        <f>+X60</f>
        <v>0</v>
      </c>
      <c r="X60" s="164"/>
      <c r="Y60" s="29"/>
      <c r="Z60" s="29"/>
      <c r="AA60" s="22"/>
      <c r="AB60" s="22"/>
      <c r="AC60" s="22"/>
      <c r="AD60" s="22"/>
      <c r="AE60" s="22"/>
      <c r="AF60" s="22"/>
      <c r="AG60" s="22"/>
    </row>
    <row r="61" spans="1:33" x14ac:dyDescent="0.2">
      <c r="A61" s="170" t="s">
        <v>104</v>
      </c>
      <c r="B61" s="31"/>
      <c r="C61" s="31"/>
      <c r="D61" s="300" t="s">
        <v>142</v>
      </c>
      <c r="E61" s="301"/>
      <c r="F61" s="61" t="s">
        <v>24</v>
      </c>
      <c r="G61" s="183"/>
      <c r="H61" s="65">
        <f t="shared" ref="H61:X61" si="27">+SUM(H55:H60)</f>
        <v>0</v>
      </c>
      <c r="I61" s="65">
        <f t="shared" si="27"/>
        <v>0</v>
      </c>
      <c r="J61" s="65">
        <f t="shared" si="27"/>
        <v>0</v>
      </c>
      <c r="K61" s="65">
        <f t="shared" si="27"/>
        <v>0</v>
      </c>
      <c r="L61" s="65">
        <f t="shared" si="27"/>
        <v>0</v>
      </c>
      <c r="M61" s="65">
        <f t="shared" si="27"/>
        <v>0</v>
      </c>
      <c r="N61" s="65">
        <f t="shared" si="27"/>
        <v>0</v>
      </c>
      <c r="O61" s="65">
        <f t="shared" si="27"/>
        <v>0</v>
      </c>
      <c r="P61" s="65">
        <f t="shared" si="27"/>
        <v>0</v>
      </c>
      <c r="Q61" s="65">
        <f t="shared" si="27"/>
        <v>0</v>
      </c>
      <c r="R61" s="65">
        <f t="shared" si="27"/>
        <v>0</v>
      </c>
      <c r="S61" s="65">
        <f t="shared" si="27"/>
        <v>0</v>
      </c>
      <c r="T61" s="65">
        <f t="shared" si="27"/>
        <v>0</v>
      </c>
      <c r="U61" s="65">
        <f t="shared" si="27"/>
        <v>0</v>
      </c>
      <c r="V61" s="140">
        <f t="shared" si="27"/>
        <v>0</v>
      </c>
      <c r="W61" s="141">
        <f t="shared" si="27"/>
        <v>0</v>
      </c>
      <c r="X61" s="143">
        <f t="shared" si="27"/>
        <v>0</v>
      </c>
      <c r="Y61" s="29"/>
      <c r="Z61" s="29"/>
      <c r="AA61" s="22"/>
      <c r="AB61" s="22"/>
      <c r="AC61" s="22"/>
      <c r="AD61" s="22"/>
      <c r="AE61" s="22"/>
      <c r="AF61" s="22"/>
      <c r="AG61" s="22"/>
    </row>
    <row r="62" spans="1:33" x14ac:dyDescent="0.2">
      <c r="A62" s="170" t="s">
        <v>104</v>
      </c>
      <c r="B62" s="31"/>
      <c r="C62" s="62" t="s">
        <v>147</v>
      </c>
      <c r="D62" s="305" t="s">
        <v>112</v>
      </c>
      <c r="E62" s="306"/>
      <c r="F62" s="97"/>
      <c r="G62" s="185"/>
      <c r="H62" s="47"/>
      <c r="I62" s="47"/>
      <c r="J62" s="47"/>
      <c r="K62" s="47"/>
      <c r="L62" s="47"/>
      <c r="M62" s="47"/>
      <c r="N62" s="47"/>
      <c r="O62" s="47"/>
      <c r="P62" s="47"/>
      <c r="Q62" s="47"/>
      <c r="R62" s="47"/>
      <c r="S62" s="47"/>
      <c r="T62" s="47"/>
      <c r="U62" s="47"/>
      <c r="V62" s="146"/>
      <c r="W62" s="135"/>
      <c r="X62" s="29"/>
      <c r="Y62" s="29"/>
      <c r="Z62" s="29"/>
      <c r="AA62" s="22"/>
      <c r="AB62" s="22"/>
      <c r="AC62" s="22"/>
      <c r="AD62" s="22"/>
      <c r="AE62" s="22"/>
      <c r="AF62" s="22"/>
      <c r="AG62" s="22"/>
    </row>
    <row r="63" spans="1:33" x14ac:dyDescent="0.2">
      <c r="A63" s="170" t="s">
        <v>104</v>
      </c>
      <c r="B63" s="31"/>
      <c r="C63" s="62"/>
      <c r="D63" s="31" t="s">
        <v>99</v>
      </c>
      <c r="E63" s="8"/>
      <c r="F63" s="35" t="s">
        <v>18</v>
      </c>
      <c r="G63" s="182"/>
      <c r="H63" s="117"/>
      <c r="I63" s="117"/>
      <c r="J63" s="117"/>
      <c r="K63" s="117"/>
      <c r="L63" s="117"/>
      <c r="M63" s="117"/>
      <c r="N63" s="117"/>
      <c r="O63" s="117"/>
      <c r="P63" s="117"/>
      <c r="Q63" s="117"/>
      <c r="R63" s="117"/>
      <c r="S63" s="117"/>
      <c r="T63" s="117"/>
      <c r="U63" s="117"/>
      <c r="V63" s="138">
        <f>+X63-W63</f>
        <v>0</v>
      </c>
      <c r="W63" s="139">
        <f>+IF($X$25&lt;&gt;0,ROUND(X63/$X$53*$W$53,2),0)</f>
        <v>0</v>
      </c>
      <c r="X63" s="164">
        <f>+SUM(H63:U63)</f>
        <v>0</v>
      </c>
      <c r="Y63" s="29"/>
      <c r="Z63" s="29"/>
      <c r="AA63" s="22"/>
      <c r="AB63" s="22"/>
      <c r="AC63" s="22"/>
      <c r="AD63" s="22"/>
      <c r="AE63" s="22"/>
      <c r="AF63" s="22"/>
      <c r="AG63" s="22"/>
    </row>
    <row r="64" spans="1:33" x14ac:dyDescent="0.2">
      <c r="A64" s="170" t="s">
        <v>104</v>
      </c>
      <c r="B64" s="31"/>
      <c r="C64" s="62"/>
      <c r="D64" s="31" t="s">
        <v>100</v>
      </c>
      <c r="E64" s="8"/>
      <c r="F64" s="35" t="s">
        <v>18</v>
      </c>
      <c r="G64" s="182"/>
      <c r="H64" s="117"/>
      <c r="I64" s="117"/>
      <c r="J64" s="117"/>
      <c r="K64" s="117"/>
      <c r="L64" s="117"/>
      <c r="M64" s="117"/>
      <c r="N64" s="117"/>
      <c r="O64" s="117"/>
      <c r="P64" s="117"/>
      <c r="Q64" s="117"/>
      <c r="R64" s="117"/>
      <c r="S64" s="117"/>
      <c r="T64" s="117"/>
      <c r="U64" s="117"/>
      <c r="V64" s="138">
        <f t="shared" ref="V64:V67" si="28">+X64-W64</f>
        <v>0</v>
      </c>
      <c r="W64" s="139">
        <f t="shared" ref="W64:W67" si="29">+IF($X$25&lt;&gt;0,ROUND(X64/$X$53*$W$53,2),0)</f>
        <v>0</v>
      </c>
      <c r="X64" s="164">
        <f>+SUM(H64:U64)</f>
        <v>0</v>
      </c>
      <c r="Y64" s="29"/>
      <c r="Z64" s="29"/>
      <c r="AA64" s="22"/>
      <c r="AB64" s="22"/>
      <c r="AC64" s="22"/>
      <c r="AD64" s="22"/>
      <c r="AE64" s="22"/>
      <c r="AF64" s="22"/>
      <c r="AG64" s="22"/>
    </row>
    <row r="65" spans="1:33" x14ac:dyDescent="0.2">
      <c r="A65" s="170" t="s">
        <v>104</v>
      </c>
      <c r="B65" s="31"/>
      <c r="C65" s="62"/>
      <c r="D65" s="31" t="s">
        <v>101</v>
      </c>
      <c r="E65" s="8"/>
      <c r="F65" s="35" t="s">
        <v>18</v>
      </c>
      <c r="G65" s="182"/>
      <c r="H65" s="117"/>
      <c r="I65" s="117"/>
      <c r="J65" s="117"/>
      <c r="K65" s="117"/>
      <c r="L65" s="117"/>
      <c r="M65" s="117"/>
      <c r="N65" s="117"/>
      <c r="O65" s="117"/>
      <c r="P65" s="117"/>
      <c r="Q65" s="117"/>
      <c r="R65" s="117"/>
      <c r="S65" s="117"/>
      <c r="T65" s="117"/>
      <c r="U65" s="117"/>
      <c r="V65" s="138">
        <f t="shared" si="28"/>
        <v>0</v>
      </c>
      <c r="W65" s="139">
        <f t="shared" si="29"/>
        <v>0</v>
      </c>
      <c r="X65" s="164">
        <f>+SUM(H65:U65)</f>
        <v>0</v>
      </c>
      <c r="Y65" s="29"/>
      <c r="Z65" s="29"/>
      <c r="AA65" s="22"/>
      <c r="AB65" s="22"/>
      <c r="AC65" s="22"/>
      <c r="AD65" s="22"/>
      <c r="AE65" s="22"/>
      <c r="AF65" s="22"/>
      <c r="AG65" s="22"/>
    </row>
    <row r="66" spans="1:33" x14ac:dyDescent="0.2">
      <c r="A66" s="170" t="s">
        <v>104</v>
      </c>
      <c r="B66" s="31"/>
      <c r="C66" s="62"/>
      <c r="D66" s="31" t="s">
        <v>102</v>
      </c>
      <c r="E66" s="8"/>
      <c r="F66" s="35" t="s">
        <v>18</v>
      </c>
      <c r="G66" s="182"/>
      <c r="H66" s="117"/>
      <c r="I66" s="117"/>
      <c r="J66" s="117"/>
      <c r="K66" s="117"/>
      <c r="L66" s="117"/>
      <c r="M66" s="117"/>
      <c r="N66" s="117"/>
      <c r="O66" s="117"/>
      <c r="P66" s="117"/>
      <c r="Q66" s="117"/>
      <c r="R66" s="117"/>
      <c r="S66" s="117"/>
      <c r="T66" s="117"/>
      <c r="U66" s="117"/>
      <c r="V66" s="138">
        <f t="shared" si="28"/>
        <v>0</v>
      </c>
      <c r="W66" s="139">
        <f t="shared" si="29"/>
        <v>0</v>
      </c>
      <c r="X66" s="164">
        <f>+SUM(H66:U66)</f>
        <v>0</v>
      </c>
      <c r="Y66" s="29"/>
      <c r="Z66" s="29"/>
      <c r="AA66" s="22"/>
      <c r="AB66" s="22"/>
      <c r="AC66" s="22"/>
      <c r="AD66" s="22"/>
      <c r="AE66" s="22"/>
      <c r="AF66" s="22"/>
      <c r="AG66" s="22"/>
    </row>
    <row r="67" spans="1:33" x14ac:dyDescent="0.2">
      <c r="A67" s="170" t="s">
        <v>104</v>
      </c>
      <c r="B67" s="31"/>
      <c r="C67" s="62"/>
      <c r="D67" s="62" t="s">
        <v>144</v>
      </c>
      <c r="E67" s="8"/>
      <c r="F67" s="35" t="s">
        <v>18</v>
      </c>
      <c r="G67" s="182"/>
      <c r="H67" s="117"/>
      <c r="I67" s="117"/>
      <c r="J67" s="117"/>
      <c r="K67" s="117"/>
      <c r="L67" s="117"/>
      <c r="M67" s="117"/>
      <c r="N67" s="117"/>
      <c r="O67" s="117"/>
      <c r="P67" s="117"/>
      <c r="Q67" s="117"/>
      <c r="R67" s="117"/>
      <c r="S67" s="117"/>
      <c r="T67" s="117"/>
      <c r="U67" s="117"/>
      <c r="V67" s="138">
        <f t="shared" si="28"/>
        <v>0</v>
      </c>
      <c r="W67" s="139">
        <f t="shared" si="29"/>
        <v>0</v>
      </c>
      <c r="X67" s="164">
        <f>+SUM(H67:U67)</f>
        <v>0</v>
      </c>
      <c r="Y67" s="29"/>
      <c r="Z67" s="29"/>
      <c r="AA67" s="22"/>
      <c r="AB67" s="22"/>
      <c r="AC67" s="22"/>
      <c r="AD67" s="22"/>
      <c r="AE67" s="22"/>
      <c r="AF67" s="22"/>
      <c r="AG67" s="22"/>
    </row>
    <row r="68" spans="1:33" x14ac:dyDescent="0.2">
      <c r="A68" s="170" t="s">
        <v>104</v>
      </c>
      <c r="B68" s="31"/>
      <c r="C68" s="31"/>
      <c r="D68" s="300" t="s">
        <v>113</v>
      </c>
      <c r="E68" s="301"/>
      <c r="F68" s="61" t="s">
        <v>24</v>
      </c>
      <c r="G68" s="183"/>
      <c r="H68" s="65">
        <f>+SUM(H63:H67)</f>
        <v>0</v>
      </c>
      <c r="I68" s="65">
        <f t="shared" ref="I68:U68" si="30">+SUM(I63:I67)</f>
        <v>0</v>
      </c>
      <c r="J68" s="65">
        <f t="shared" si="30"/>
        <v>0</v>
      </c>
      <c r="K68" s="65">
        <f t="shared" si="30"/>
        <v>0</v>
      </c>
      <c r="L68" s="65">
        <f t="shared" si="30"/>
        <v>0</v>
      </c>
      <c r="M68" s="65">
        <f t="shared" si="30"/>
        <v>0</v>
      </c>
      <c r="N68" s="65">
        <f t="shared" si="30"/>
        <v>0</v>
      </c>
      <c r="O68" s="65">
        <f t="shared" si="30"/>
        <v>0</v>
      </c>
      <c r="P68" s="65">
        <f t="shared" si="30"/>
        <v>0</v>
      </c>
      <c r="Q68" s="65">
        <f t="shared" si="30"/>
        <v>0</v>
      </c>
      <c r="R68" s="65">
        <f t="shared" si="30"/>
        <v>0</v>
      </c>
      <c r="S68" s="65">
        <f t="shared" si="30"/>
        <v>0</v>
      </c>
      <c r="T68" s="65">
        <f t="shared" si="30"/>
        <v>0</v>
      </c>
      <c r="U68" s="65">
        <f t="shared" si="30"/>
        <v>0</v>
      </c>
      <c r="V68" s="140">
        <f>+SUM(V63:V67)</f>
        <v>0</v>
      </c>
      <c r="W68" s="140">
        <f>+SUM(W63:W67)</f>
        <v>0</v>
      </c>
      <c r="X68" s="143">
        <f>+SUM(X63:X67)</f>
        <v>0</v>
      </c>
      <c r="Y68" s="29"/>
      <c r="Z68" s="29"/>
      <c r="AA68" s="22"/>
      <c r="AB68" s="22"/>
      <c r="AC68" s="22"/>
      <c r="AD68" s="22"/>
      <c r="AE68" s="22"/>
      <c r="AF68" s="22"/>
      <c r="AG68" s="22"/>
    </row>
    <row r="69" spans="1:33" x14ac:dyDescent="0.2">
      <c r="A69" s="170" t="s">
        <v>104</v>
      </c>
      <c r="B69" s="31"/>
      <c r="C69" s="66" t="s">
        <v>221</v>
      </c>
      <c r="D69" s="44"/>
      <c r="E69" s="270"/>
      <c r="F69" s="95"/>
      <c r="G69" s="175"/>
      <c r="H69" s="65">
        <f t="shared" ref="H69:X69" si="31">+H53+H61-H68</f>
        <v>0</v>
      </c>
      <c r="I69" s="65">
        <f t="shared" si="31"/>
        <v>0</v>
      </c>
      <c r="J69" s="65">
        <f t="shared" si="31"/>
        <v>0</v>
      </c>
      <c r="K69" s="65">
        <f t="shared" si="31"/>
        <v>0</v>
      </c>
      <c r="L69" s="65">
        <f t="shared" si="31"/>
        <v>0</v>
      </c>
      <c r="M69" s="65">
        <f t="shared" si="31"/>
        <v>0</v>
      </c>
      <c r="N69" s="65">
        <f t="shared" si="31"/>
        <v>0</v>
      </c>
      <c r="O69" s="65">
        <f t="shared" si="31"/>
        <v>0</v>
      </c>
      <c r="P69" s="65">
        <f t="shared" si="31"/>
        <v>0</v>
      </c>
      <c r="Q69" s="65">
        <f t="shared" si="31"/>
        <v>0</v>
      </c>
      <c r="R69" s="65">
        <f t="shared" si="31"/>
        <v>0</v>
      </c>
      <c r="S69" s="65">
        <f t="shared" si="31"/>
        <v>0</v>
      </c>
      <c r="T69" s="65">
        <f t="shared" si="31"/>
        <v>0</v>
      </c>
      <c r="U69" s="65">
        <f t="shared" si="31"/>
        <v>0</v>
      </c>
      <c r="V69" s="140">
        <f t="shared" si="31"/>
        <v>0</v>
      </c>
      <c r="W69" s="141">
        <f t="shared" si="31"/>
        <v>0</v>
      </c>
      <c r="X69" s="203">
        <f t="shared" si="31"/>
        <v>0</v>
      </c>
      <c r="Y69" s="29"/>
      <c r="Z69" s="29"/>
      <c r="AA69" s="22"/>
      <c r="AB69" s="22"/>
      <c r="AC69" s="22"/>
      <c r="AD69" s="22"/>
      <c r="AE69" s="22"/>
      <c r="AF69" s="22"/>
      <c r="AG69" s="22"/>
    </row>
    <row r="70" spans="1:33" x14ac:dyDescent="0.2">
      <c r="A70" s="170" t="s">
        <v>105</v>
      </c>
      <c r="B70" s="31"/>
      <c r="C70" s="66" t="s">
        <v>225</v>
      </c>
      <c r="D70" s="44"/>
      <c r="E70" s="270"/>
      <c r="F70" s="95"/>
      <c r="G70" s="184"/>
      <c r="H70" s="96">
        <f t="shared" ref="H70:U70" si="32">+H41+H69</f>
        <v>0</v>
      </c>
      <c r="I70" s="96">
        <f t="shared" si="32"/>
        <v>0</v>
      </c>
      <c r="J70" s="96">
        <f t="shared" si="32"/>
        <v>0</v>
      </c>
      <c r="K70" s="96">
        <f t="shared" si="32"/>
        <v>0</v>
      </c>
      <c r="L70" s="96">
        <f t="shared" si="32"/>
        <v>0</v>
      </c>
      <c r="M70" s="96">
        <f t="shared" si="32"/>
        <v>0</v>
      </c>
      <c r="N70" s="96">
        <f t="shared" si="32"/>
        <v>0</v>
      </c>
      <c r="O70" s="96">
        <f t="shared" si="32"/>
        <v>0</v>
      </c>
      <c r="P70" s="96">
        <f t="shared" si="32"/>
        <v>0</v>
      </c>
      <c r="Q70" s="96">
        <f t="shared" si="32"/>
        <v>0</v>
      </c>
      <c r="R70" s="96">
        <f t="shared" si="32"/>
        <v>0</v>
      </c>
      <c r="S70" s="96">
        <f t="shared" si="32"/>
        <v>0</v>
      </c>
      <c r="T70" s="96">
        <f t="shared" si="32"/>
        <v>0</v>
      </c>
      <c r="U70" s="96">
        <f t="shared" si="32"/>
        <v>0</v>
      </c>
      <c r="V70" s="140">
        <f>+V69+V41</f>
        <v>0</v>
      </c>
      <c r="W70" s="140">
        <f>+W69+W41</f>
        <v>0</v>
      </c>
      <c r="X70" s="140">
        <f>+X69+X41</f>
        <v>0</v>
      </c>
      <c r="Y70" s="164"/>
      <c r="Z70" s="266"/>
      <c r="AA70" s="22"/>
      <c r="AB70" s="22"/>
      <c r="AC70" s="22"/>
      <c r="AD70" s="22"/>
      <c r="AE70" s="22"/>
      <c r="AF70" s="22"/>
      <c r="AG70" s="22"/>
    </row>
    <row r="71" spans="1:33" x14ac:dyDescent="0.2">
      <c r="A71" s="169" t="s">
        <v>105</v>
      </c>
      <c r="B71" s="31"/>
      <c r="C71" s="297" t="s">
        <v>148</v>
      </c>
      <c r="D71" s="298"/>
      <c r="E71" s="299"/>
      <c r="F71" s="97"/>
      <c r="G71" s="185"/>
      <c r="H71" s="47"/>
      <c r="I71" s="47"/>
      <c r="J71" s="47"/>
      <c r="K71" s="47"/>
      <c r="L71" s="47"/>
      <c r="M71" s="47"/>
      <c r="N71" s="47"/>
      <c r="O71" s="47"/>
      <c r="P71" s="47"/>
      <c r="Q71" s="47"/>
      <c r="R71" s="47"/>
      <c r="S71" s="47"/>
      <c r="T71" s="47"/>
      <c r="U71" s="47"/>
      <c r="V71" s="173"/>
      <c r="W71" s="135"/>
      <c r="X71" s="266">
        <f>+X70-SUM(H70:U70)</f>
        <v>0</v>
      </c>
      <c r="Y71" s="29"/>
      <c r="Z71" s="29"/>
      <c r="AA71" s="22"/>
      <c r="AB71" s="22"/>
      <c r="AC71" s="22"/>
      <c r="AD71" s="22"/>
      <c r="AE71" s="22"/>
      <c r="AF71" s="22"/>
      <c r="AG71" s="22"/>
    </row>
    <row r="72" spans="1:33" x14ac:dyDescent="0.2">
      <c r="A72" s="169" t="s">
        <v>105</v>
      </c>
      <c r="B72" s="62" t="s">
        <v>27</v>
      </c>
      <c r="C72" s="62" t="s">
        <v>202</v>
      </c>
      <c r="D72" s="62" t="s">
        <v>258</v>
      </c>
      <c r="E72" s="31"/>
      <c r="F72" s="35" t="s">
        <v>18</v>
      </c>
      <c r="G72" s="174"/>
      <c r="H72" s="113"/>
      <c r="I72" s="114"/>
      <c r="J72" s="114"/>
      <c r="K72" s="114"/>
      <c r="L72" s="114"/>
      <c r="M72" s="114"/>
      <c r="N72" s="114"/>
      <c r="O72" s="114"/>
      <c r="P72" s="114"/>
      <c r="Q72" s="114"/>
      <c r="R72" s="114"/>
      <c r="S72" s="114"/>
      <c r="T72" s="114"/>
      <c r="U72" s="114"/>
      <c r="V72" s="147"/>
      <c r="W72" s="135"/>
      <c r="X72" s="29"/>
      <c r="Y72" s="29"/>
      <c r="Z72" s="29"/>
      <c r="AA72" s="22"/>
      <c r="AB72" s="22"/>
      <c r="AC72" s="22"/>
      <c r="AD72" s="22"/>
      <c r="AE72" s="22"/>
      <c r="AF72" s="22"/>
      <c r="AG72" s="22"/>
    </row>
    <row r="73" spans="1:33" x14ac:dyDescent="0.2">
      <c r="A73" s="169" t="s">
        <v>105</v>
      </c>
      <c r="B73" s="62" t="s">
        <v>27</v>
      </c>
      <c r="C73" s="62" t="s">
        <v>202</v>
      </c>
      <c r="D73" s="62" t="s">
        <v>259</v>
      </c>
      <c r="E73" s="31"/>
      <c r="F73" s="35" t="s">
        <v>18</v>
      </c>
      <c r="G73" s="174"/>
      <c r="H73" s="103"/>
      <c r="I73" s="104"/>
      <c r="J73" s="104"/>
      <c r="K73" s="104"/>
      <c r="L73" s="104"/>
      <c r="M73" s="104"/>
      <c r="N73" s="104"/>
      <c r="O73" s="104"/>
      <c r="P73" s="104"/>
      <c r="Q73" s="104"/>
      <c r="R73" s="104"/>
      <c r="S73" s="104"/>
      <c r="T73" s="104"/>
      <c r="U73" s="104"/>
      <c r="V73" s="147"/>
      <c r="W73" s="135"/>
      <c r="X73" s="29"/>
      <c r="Y73" s="29"/>
      <c r="Z73" s="29"/>
      <c r="AA73" s="22"/>
      <c r="AB73" s="22"/>
      <c r="AC73" s="22"/>
      <c r="AD73" s="22"/>
      <c r="AE73" s="22"/>
      <c r="AF73" s="22"/>
      <c r="AG73" s="22"/>
    </row>
    <row r="74" spans="1:33" x14ac:dyDescent="0.2">
      <c r="A74" s="169" t="s">
        <v>105</v>
      </c>
      <c r="B74" s="62" t="s">
        <v>27</v>
      </c>
      <c r="C74" s="62" t="s">
        <v>202</v>
      </c>
      <c r="D74" s="62" t="s">
        <v>260</v>
      </c>
      <c r="E74" s="31"/>
      <c r="F74" s="35" t="s">
        <v>18</v>
      </c>
      <c r="G74" s="174"/>
      <c r="H74" s="103"/>
      <c r="I74" s="104"/>
      <c r="J74" s="104"/>
      <c r="K74" s="104"/>
      <c r="L74" s="104"/>
      <c r="M74" s="104"/>
      <c r="N74" s="104"/>
      <c r="O74" s="104"/>
      <c r="P74" s="104"/>
      <c r="Q74" s="104"/>
      <c r="R74" s="104"/>
      <c r="S74" s="104"/>
      <c r="T74" s="104"/>
      <c r="U74" s="104"/>
      <c r="V74" s="147"/>
      <c r="W74" s="135"/>
      <c r="X74" s="29"/>
      <c r="Y74" s="29"/>
      <c r="Z74" s="29"/>
      <c r="AA74" s="22"/>
      <c r="AB74" s="22"/>
      <c r="AC74" s="22"/>
      <c r="AD74" s="22"/>
      <c r="AE74" s="22"/>
      <c r="AF74" s="22"/>
      <c r="AG74" s="22"/>
    </row>
    <row r="75" spans="1:33" x14ac:dyDescent="0.2">
      <c r="A75" s="169" t="s">
        <v>105</v>
      </c>
      <c r="B75" s="62" t="s">
        <v>27</v>
      </c>
      <c r="C75" s="62" t="s">
        <v>202</v>
      </c>
      <c r="D75" s="62" t="s">
        <v>149</v>
      </c>
      <c r="E75" s="31"/>
      <c r="F75" s="35" t="s">
        <v>18</v>
      </c>
      <c r="G75" s="174"/>
      <c r="H75" s="105"/>
      <c r="I75" s="106"/>
      <c r="J75" s="106"/>
      <c r="K75" s="106"/>
      <c r="L75" s="106"/>
      <c r="M75" s="106"/>
      <c r="N75" s="106"/>
      <c r="O75" s="106"/>
      <c r="P75" s="106"/>
      <c r="Q75" s="106"/>
      <c r="R75" s="106"/>
      <c r="S75" s="106"/>
      <c r="T75" s="106"/>
      <c r="U75" s="106"/>
      <c r="V75" s="147"/>
      <c r="W75" s="135"/>
      <c r="X75" s="29"/>
      <c r="Y75" s="158"/>
      <c r="Z75" s="157"/>
      <c r="AA75" s="22"/>
      <c r="AB75" s="22"/>
      <c r="AC75" s="22"/>
      <c r="AD75" s="22"/>
      <c r="AE75" s="22"/>
      <c r="AF75" s="22"/>
      <c r="AG75" s="22"/>
    </row>
    <row r="76" spans="1:33" x14ac:dyDescent="0.2">
      <c r="A76" s="169" t="s">
        <v>105</v>
      </c>
      <c r="B76" s="31"/>
      <c r="C76" s="31"/>
      <c r="D76" s="62" t="s">
        <v>150</v>
      </c>
      <c r="E76" s="31"/>
      <c r="F76" s="35" t="s">
        <v>18</v>
      </c>
      <c r="G76" s="182"/>
      <c r="H76" s="117"/>
      <c r="I76" s="117"/>
      <c r="J76" s="117"/>
      <c r="K76" s="117"/>
      <c r="L76" s="117"/>
      <c r="M76" s="117"/>
      <c r="N76" s="117"/>
      <c r="O76" s="117"/>
      <c r="P76" s="117"/>
      <c r="Q76" s="117"/>
      <c r="R76" s="117"/>
      <c r="S76" s="117"/>
      <c r="T76" s="117"/>
      <c r="U76" s="117"/>
      <c r="V76" s="147"/>
      <c r="W76" s="135"/>
      <c r="X76" s="29"/>
      <c r="Y76" s="29"/>
      <c r="Z76" s="29"/>
      <c r="AA76" s="22"/>
      <c r="AB76" s="22"/>
      <c r="AC76" s="22"/>
      <c r="AD76" s="22"/>
      <c r="AE76" s="22"/>
      <c r="AF76" s="22"/>
      <c r="AG76" s="22"/>
    </row>
    <row r="77" spans="1:33" x14ac:dyDescent="0.2">
      <c r="A77" s="169" t="s">
        <v>105</v>
      </c>
      <c r="B77" s="31"/>
      <c r="C77" s="31"/>
      <c r="D77" s="62" t="s">
        <v>151</v>
      </c>
      <c r="E77" s="31"/>
      <c r="F77" s="35" t="s">
        <v>18</v>
      </c>
      <c r="G77" s="182"/>
      <c r="H77" s="117"/>
      <c r="I77" s="117"/>
      <c r="J77" s="117"/>
      <c r="K77" s="117"/>
      <c r="L77" s="117"/>
      <c r="M77" s="117"/>
      <c r="N77" s="117"/>
      <c r="O77" s="117"/>
      <c r="P77" s="117"/>
      <c r="Q77" s="117"/>
      <c r="R77" s="117"/>
      <c r="S77" s="117"/>
      <c r="T77" s="117"/>
      <c r="U77" s="117"/>
      <c r="V77" s="147"/>
      <c r="W77" s="135"/>
      <c r="X77" s="29"/>
      <c r="Y77" s="29"/>
      <c r="Z77" s="29"/>
      <c r="AA77" s="22"/>
      <c r="AB77" s="22"/>
      <c r="AC77" s="22"/>
      <c r="AD77" s="22"/>
      <c r="AE77" s="22"/>
      <c r="AF77" s="22"/>
      <c r="AG77" s="22"/>
    </row>
    <row r="78" spans="1:33" x14ac:dyDescent="0.2">
      <c r="A78" s="170" t="s">
        <v>105</v>
      </c>
      <c r="B78" s="31"/>
      <c r="C78" s="62" t="s">
        <v>202</v>
      </c>
      <c r="D78" s="62" t="s">
        <v>219</v>
      </c>
      <c r="E78" s="31"/>
      <c r="F78" s="35" t="s">
        <v>18</v>
      </c>
      <c r="G78" s="182"/>
      <c r="H78" s="117"/>
      <c r="I78" s="117"/>
      <c r="J78" s="117"/>
      <c r="K78" s="117"/>
      <c r="L78" s="117"/>
      <c r="M78" s="117"/>
      <c r="N78" s="117"/>
      <c r="O78" s="117"/>
      <c r="P78" s="117"/>
      <c r="Q78" s="117"/>
      <c r="R78" s="117"/>
      <c r="S78" s="117"/>
      <c r="T78" s="117"/>
      <c r="U78" s="117"/>
      <c r="V78" s="147"/>
      <c r="W78" s="135"/>
      <c r="X78" s="29"/>
      <c r="Y78" s="29"/>
      <c r="Z78" s="29"/>
      <c r="AA78" s="22"/>
      <c r="AB78" s="22"/>
      <c r="AC78" s="22"/>
      <c r="AD78" s="22"/>
      <c r="AE78" s="22"/>
      <c r="AF78" s="22"/>
      <c r="AG78" s="22"/>
    </row>
    <row r="79" spans="1:33" x14ac:dyDescent="0.2">
      <c r="A79" s="169" t="s">
        <v>105</v>
      </c>
      <c r="B79" s="31"/>
      <c r="C79" s="62" t="s">
        <v>202</v>
      </c>
      <c r="D79" s="62" t="s">
        <v>26</v>
      </c>
      <c r="E79" s="31"/>
      <c r="F79" s="35" t="s">
        <v>18</v>
      </c>
      <c r="G79" s="182"/>
      <c r="H79" s="117"/>
      <c r="I79" s="117"/>
      <c r="J79" s="117"/>
      <c r="K79" s="117"/>
      <c r="L79" s="117"/>
      <c r="M79" s="117"/>
      <c r="N79" s="117"/>
      <c r="O79" s="117"/>
      <c r="P79" s="117"/>
      <c r="Q79" s="117"/>
      <c r="R79" s="117"/>
      <c r="S79" s="117"/>
      <c r="T79" s="117"/>
      <c r="U79" s="117"/>
      <c r="V79" s="147"/>
      <c r="W79" s="135"/>
      <c r="X79" s="29"/>
      <c r="Y79" s="29"/>
      <c r="Z79" s="29"/>
      <c r="AA79" s="22"/>
      <c r="AB79" s="22"/>
      <c r="AC79" s="22"/>
      <c r="AD79" s="22"/>
      <c r="AE79" s="22"/>
      <c r="AF79" s="22"/>
      <c r="AG79" s="22"/>
    </row>
    <row r="80" spans="1:33" x14ac:dyDescent="0.2">
      <c r="A80" s="169" t="s">
        <v>105</v>
      </c>
      <c r="B80" s="62" t="s">
        <v>27</v>
      </c>
      <c r="C80" s="62" t="s">
        <v>202</v>
      </c>
      <c r="D80" s="62" t="s">
        <v>261</v>
      </c>
      <c r="E80" s="31"/>
      <c r="F80" s="35" t="s">
        <v>18</v>
      </c>
      <c r="G80" s="185"/>
      <c r="H80" s="108"/>
      <c r="I80" s="108"/>
      <c r="J80" s="108"/>
      <c r="K80" s="108"/>
      <c r="L80" s="108"/>
      <c r="M80" s="108"/>
      <c r="N80" s="108"/>
      <c r="O80" s="108"/>
      <c r="P80" s="108"/>
      <c r="Q80" s="108"/>
      <c r="R80" s="108"/>
      <c r="S80" s="108"/>
      <c r="T80" s="108"/>
      <c r="U80" s="108"/>
      <c r="V80" s="147"/>
      <c r="W80" s="135"/>
      <c r="X80" s="29"/>
      <c r="Y80" s="29"/>
      <c r="Z80" s="29"/>
      <c r="AA80" s="22"/>
      <c r="AB80" s="22"/>
      <c r="AC80" s="22"/>
      <c r="AD80" s="22"/>
      <c r="AE80" s="22"/>
      <c r="AF80" s="22"/>
      <c r="AG80" s="22"/>
    </row>
    <row r="81" spans="1:33" x14ac:dyDescent="0.2">
      <c r="A81" s="169" t="s">
        <v>105</v>
      </c>
      <c r="B81" s="31"/>
      <c r="C81" s="62" t="s">
        <v>202</v>
      </c>
      <c r="D81" s="62" t="s">
        <v>152</v>
      </c>
      <c r="E81" s="31"/>
      <c r="F81" s="35" t="s">
        <v>18</v>
      </c>
      <c r="G81" s="182"/>
      <c r="H81" s="117"/>
      <c r="I81" s="117"/>
      <c r="J81" s="117"/>
      <c r="K81" s="117"/>
      <c r="L81" s="117"/>
      <c r="M81" s="117"/>
      <c r="N81" s="117"/>
      <c r="O81" s="117"/>
      <c r="P81" s="117"/>
      <c r="Q81" s="117"/>
      <c r="R81" s="117"/>
      <c r="S81" s="117"/>
      <c r="T81" s="117"/>
      <c r="U81" s="117"/>
      <c r="V81" s="147"/>
      <c r="W81" s="135"/>
      <c r="X81" s="29"/>
      <c r="Y81" s="29"/>
      <c r="Z81" s="29"/>
      <c r="AA81" s="22"/>
      <c r="AB81" s="22"/>
      <c r="AC81" s="22"/>
      <c r="AD81" s="22"/>
      <c r="AE81" s="22"/>
      <c r="AF81" s="22"/>
      <c r="AG81" s="22"/>
    </row>
    <row r="82" spans="1:33" x14ac:dyDescent="0.2">
      <c r="A82" s="169" t="s">
        <v>105</v>
      </c>
      <c r="B82" s="31"/>
      <c r="C82" s="31"/>
      <c r="D82" s="62" t="s">
        <v>153</v>
      </c>
      <c r="E82" s="31"/>
      <c r="F82" s="35" t="s">
        <v>18</v>
      </c>
      <c r="G82" s="182"/>
      <c r="H82" s="117"/>
      <c r="I82" s="117"/>
      <c r="J82" s="117"/>
      <c r="K82" s="117"/>
      <c r="L82" s="117"/>
      <c r="M82" s="117"/>
      <c r="N82" s="117"/>
      <c r="O82" s="117"/>
      <c r="P82" s="117"/>
      <c r="Q82" s="117"/>
      <c r="R82" s="117"/>
      <c r="S82" s="117"/>
      <c r="T82" s="117"/>
      <c r="U82" s="117"/>
      <c r="V82" s="147"/>
      <c r="W82" s="135"/>
      <c r="X82" s="29"/>
      <c r="Y82" s="29"/>
      <c r="Z82" s="29"/>
      <c r="AA82" s="22"/>
      <c r="AB82" s="22"/>
      <c r="AC82" s="22"/>
      <c r="AD82" s="22"/>
      <c r="AE82" s="22"/>
      <c r="AF82" s="22"/>
      <c r="AG82" s="22"/>
    </row>
    <row r="83" spans="1:33" x14ac:dyDescent="0.2">
      <c r="A83" s="169" t="s">
        <v>105</v>
      </c>
      <c r="B83" s="31"/>
      <c r="C83" s="31"/>
      <c r="D83" s="62" t="s">
        <v>262</v>
      </c>
      <c r="E83" s="31"/>
      <c r="F83" s="35" t="s">
        <v>18</v>
      </c>
      <c r="G83" s="182"/>
      <c r="H83" s="117"/>
      <c r="I83" s="117"/>
      <c r="J83" s="117"/>
      <c r="K83" s="117"/>
      <c r="L83" s="117"/>
      <c r="M83" s="117"/>
      <c r="N83" s="117"/>
      <c r="O83" s="117"/>
      <c r="P83" s="117"/>
      <c r="Q83" s="117"/>
      <c r="R83" s="117"/>
      <c r="S83" s="117"/>
      <c r="T83" s="117"/>
      <c r="U83" s="117"/>
      <c r="V83" s="147"/>
      <c r="W83" s="135"/>
      <c r="X83" s="29"/>
      <c r="Y83" s="29"/>
      <c r="Z83" s="29"/>
      <c r="AA83" s="22"/>
      <c r="AB83" s="22"/>
      <c r="AC83" s="22"/>
      <c r="AD83" s="22"/>
      <c r="AE83" s="22"/>
      <c r="AF83" s="22"/>
      <c r="AG83" s="22"/>
    </row>
    <row r="84" spans="1:33" x14ac:dyDescent="0.2">
      <c r="A84" s="169" t="s">
        <v>105</v>
      </c>
      <c r="B84" s="31"/>
      <c r="C84" s="62" t="s">
        <v>202</v>
      </c>
      <c r="D84" s="62" t="s">
        <v>263</v>
      </c>
      <c r="E84" s="31"/>
      <c r="F84" s="35" t="s">
        <v>18</v>
      </c>
      <c r="G84" s="182"/>
      <c r="H84" s="117"/>
      <c r="I84" s="117"/>
      <c r="J84" s="117"/>
      <c r="K84" s="117"/>
      <c r="L84" s="117"/>
      <c r="M84" s="117"/>
      <c r="N84" s="117"/>
      <c r="O84" s="117"/>
      <c r="P84" s="117"/>
      <c r="Q84" s="117"/>
      <c r="R84" s="117"/>
      <c r="S84" s="117"/>
      <c r="T84" s="117"/>
      <c r="U84" s="117"/>
      <c r="V84" s="147"/>
      <c r="W84" s="135"/>
      <c r="X84" s="29"/>
      <c r="Y84" s="29"/>
      <c r="Z84" s="29"/>
      <c r="AA84" s="22"/>
      <c r="AB84" s="22"/>
      <c r="AC84" s="22"/>
      <c r="AD84" s="22"/>
      <c r="AE84" s="22"/>
      <c r="AF84" s="22"/>
      <c r="AG84" s="22"/>
    </row>
    <row r="85" spans="1:33" x14ac:dyDescent="0.2">
      <c r="A85" s="169" t="s">
        <v>105</v>
      </c>
      <c r="B85" s="31"/>
      <c r="C85" s="62" t="s">
        <v>202</v>
      </c>
      <c r="D85" s="62" t="s">
        <v>155</v>
      </c>
      <c r="E85" s="31"/>
      <c r="F85" s="35" t="s">
        <v>18</v>
      </c>
      <c r="G85" s="182"/>
      <c r="H85" s="117"/>
      <c r="I85" s="117"/>
      <c r="J85" s="117"/>
      <c r="K85" s="117"/>
      <c r="L85" s="117"/>
      <c r="M85" s="117"/>
      <c r="N85" s="117"/>
      <c r="O85" s="117"/>
      <c r="P85" s="117"/>
      <c r="Q85" s="117"/>
      <c r="R85" s="117"/>
      <c r="S85" s="117"/>
      <c r="T85" s="117"/>
      <c r="U85" s="117"/>
      <c r="V85" s="147"/>
      <c r="W85" s="135"/>
      <c r="X85" s="29"/>
      <c r="Y85" s="29"/>
      <c r="Z85" s="29"/>
      <c r="AA85" s="22"/>
      <c r="AB85" s="22"/>
      <c r="AC85" s="22"/>
      <c r="AD85" s="22"/>
      <c r="AE85" s="22"/>
      <c r="AF85" s="22"/>
      <c r="AG85" s="22"/>
    </row>
    <row r="86" spans="1:33" x14ac:dyDescent="0.2">
      <c r="A86" s="169" t="s">
        <v>105</v>
      </c>
      <c r="B86" s="31"/>
      <c r="C86" s="31"/>
      <c r="D86" s="62" t="s">
        <v>156</v>
      </c>
      <c r="E86" s="31"/>
      <c r="F86" s="35" t="s">
        <v>18</v>
      </c>
      <c r="G86" s="182"/>
      <c r="H86" s="117"/>
      <c r="I86" s="117"/>
      <c r="J86" s="117"/>
      <c r="K86" s="117"/>
      <c r="L86" s="117"/>
      <c r="M86" s="117"/>
      <c r="N86" s="117"/>
      <c r="O86" s="117"/>
      <c r="P86" s="117"/>
      <c r="Q86" s="117"/>
      <c r="R86" s="117"/>
      <c r="S86" s="117"/>
      <c r="T86" s="117"/>
      <c r="U86" s="117"/>
      <c r="V86" s="147"/>
      <c r="W86" s="135"/>
      <c r="X86" s="29"/>
      <c r="Y86" s="29"/>
      <c r="Z86" s="29"/>
      <c r="AA86" s="22"/>
      <c r="AB86" s="22"/>
      <c r="AC86" s="22"/>
      <c r="AD86" s="22"/>
      <c r="AE86" s="22"/>
      <c r="AF86" s="22"/>
      <c r="AG86" s="22"/>
    </row>
    <row r="87" spans="1:33" x14ac:dyDescent="0.2">
      <c r="A87" s="169" t="s">
        <v>105</v>
      </c>
      <c r="B87" s="31"/>
      <c r="C87" s="31"/>
      <c r="D87" s="62" t="s">
        <v>157</v>
      </c>
      <c r="E87" s="31"/>
      <c r="F87" s="35" t="s">
        <v>18</v>
      </c>
      <c r="G87" s="182"/>
      <c r="H87" s="117"/>
      <c r="I87" s="117"/>
      <c r="J87" s="117"/>
      <c r="K87" s="117"/>
      <c r="L87" s="117"/>
      <c r="M87" s="117"/>
      <c r="N87" s="117"/>
      <c r="O87" s="117"/>
      <c r="P87" s="117"/>
      <c r="Q87" s="117"/>
      <c r="R87" s="117"/>
      <c r="S87" s="117"/>
      <c r="T87" s="117"/>
      <c r="U87" s="117"/>
      <c r="V87" s="147"/>
      <c r="W87" s="135"/>
      <c r="X87" s="29"/>
      <c r="Y87" s="29"/>
      <c r="Z87" s="29"/>
      <c r="AA87" s="22"/>
      <c r="AB87" s="22"/>
      <c r="AC87" s="22"/>
      <c r="AD87" s="22"/>
      <c r="AE87" s="22"/>
      <c r="AF87" s="22"/>
      <c r="AG87" s="22"/>
    </row>
    <row r="88" spans="1:33" x14ac:dyDescent="0.2">
      <c r="A88" s="169" t="s">
        <v>104</v>
      </c>
      <c r="B88" s="304" t="s">
        <v>372</v>
      </c>
      <c r="C88" s="304"/>
      <c r="D88" s="304"/>
      <c r="E88" s="304"/>
      <c r="F88" s="304"/>
      <c r="G88" s="186"/>
      <c r="H88" s="163"/>
      <c r="I88" s="54"/>
      <c r="J88" s="54"/>
      <c r="K88" s="54"/>
      <c r="L88" s="54"/>
      <c r="M88" s="54"/>
      <c r="N88" s="54"/>
      <c r="O88" s="54"/>
      <c r="P88" s="54"/>
      <c r="Q88" s="54"/>
      <c r="R88" s="54"/>
      <c r="S88" s="54"/>
      <c r="T88" s="54"/>
      <c r="U88" s="54"/>
      <c r="V88" s="162"/>
      <c r="W88" s="135"/>
      <c r="X88" s="29"/>
      <c r="Y88" s="29"/>
      <c r="Z88" s="29"/>
      <c r="AA88" s="22"/>
      <c r="AB88" s="22"/>
      <c r="AC88" s="22"/>
      <c r="AD88" s="22"/>
      <c r="AE88" s="22"/>
      <c r="AF88" s="22"/>
      <c r="AG88" s="22"/>
    </row>
    <row r="89" spans="1:33" x14ac:dyDescent="0.2">
      <c r="A89" s="170" t="s">
        <v>104</v>
      </c>
      <c r="B89" s="99" t="s">
        <v>367</v>
      </c>
      <c r="C89" s="260" t="s">
        <v>284</v>
      </c>
      <c r="D89" s="251"/>
      <c r="E89" s="62" t="s">
        <v>373</v>
      </c>
      <c r="F89" s="160" t="s">
        <v>24</v>
      </c>
      <c r="G89" s="180"/>
      <c r="H89" s="17">
        <f>+SUMIF($B$16:$B$71,$B89,H$16:H$71)</f>
        <v>0</v>
      </c>
      <c r="I89" s="17">
        <f t="shared" ref="I89:U89" si="33">+SUMIF($B$16:$B$71,$B89,I$16:I$71)</f>
        <v>0</v>
      </c>
      <c r="J89" s="17">
        <f t="shared" si="33"/>
        <v>0</v>
      </c>
      <c r="K89" s="17">
        <f t="shared" si="33"/>
        <v>0</v>
      </c>
      <c r="L89" s="17">
        <f t="shared" si="33"/>
        <v>0</v>
      </c>
      <c r="M89" s="17">
        <f t="shared" si="33"/>
        <v>0</v>
      </c>
      <c r="N89" s="17">
        <f t="shared" si="33"/>
        <v>0</v>
      </c>
      <c r="O89" s="17">
        <f t="shared" si="33"/>
        <v>0</v>
      </c>
      <c r="P89" s="17">
        <f t="shared" si="33"/>
        <v>0</v>
      </c>
      <c r="Q89" s="17">
        <f t="shared" si="33"/>
        <v>0</v>
      </c>
      <c r="R89" s="17">
        <f t="shared" si="33"/>
        <v>0</v>
      </c>
      <c r="S89" s="17">
        <f t="shared" si="33"/>
        <v>0</v>
      </c>
      <c r="T89" s="17">
        <f t="shared" si="33"/>
        <v>0</v>
      </c>
      <c r="U89" s="17">
        <f t="shared" si="33"/>
        <v>0</v>
      </c>
      <c r="V89" s="161">
        <f>+IF(V9&gt;Tablas!AG23,X89,MIN(ROUND(V162*0.4,2),X89))</f>
        <v>0</v>
      </c>
      <c r="W89" s="264">
        <f>+X89-V89</f>
        <v>0</v>
      </c>
      <c r="X89" s="164">
        <f t="shared" ref="X89" si="34">+SUM(H89:U89)</f>
        <v>0</v>
      </c>
      <c r="Y89" s="29"/>
      <c r="Z89" s="29"/>
      <c r="AA89" s="22"/>
      <c r="AB89" s="22"/>
      <c r="AC89" s="22"/>
      <c r="AD89" s="22"/>
      <c r="AE89" s="22"/>
      <c r="AF89" s="22"/>
      <c r="AG89" s="22"/>
    </row>
    <row r="90" spans="1:33" x14ac:dyDescent="0.2">
      <c r="A90" s="170" t="s">
        <v>104</v>
      </c>
      <c r="B90" s="62" t="s">
        <v>369</v>
      </c>
      <c r="C90" s="62"/>
      <c r="D90" s="251"/>
      <c r="E90" s="62" t="s">
        <v>381</v>
      </c>
      <c r="F90" s="160" t="s">
        <v>24</v>
      </c>
      <c r="G90" s="180"/>
      <c r="H90" s="17">
        <f>+IF(H9&gt;Tablas!$AG$23,0,MIN(H89,ROUND((H$162-G$162)*0.4,2)))</f>
        <v>0</v>
      </c>
      <c r="I90" s="17">
        <f>+IF(I9&gt;Tablas!$AG$23,0,MIN(I89,ROUND((I$162-H$162)*0.4,2)))</f>
        <v>0</v>
      </c>
      <c r="J90" s="17">
        <f>+IF(J9&gt;Tablas!$AG$23,0,MIN(J89,ROUND((J$162-I$162)*0.4,2)))</f>
        <v>0</v>
      </c>
      <c r="K90" s="17">
        <f>+IF(K9&gt;Tablas!$AG$23,0,MIN(K89,ROUND((K$162-J$162)*0.4,2)))</f>
        <v>0</v>
      </c>
      <c r="L90" s="17">
        <f>+IF(L9&gt;Tablas!$AG$23,0,MIN(L89,ROUND((L$162-K$162)*0.4,2)))</f>
        <v>0</v>
      </c>
      <c r="M90" s="17">
        <f>+IF(M9&gt;Tablas!$AG$23,0,MIN(M89,ROUND((M$162-L$162)*0.4,2)))</f>
        <v>0</v>
      </c>
      <c r="N90" s="17">
        <f>+IF(N9&gt;Tablas!$AG$23,0,MIN(N89,ROUND((N$162-M$162)*0.4,2)))</f>
        <v>0</v>
      </c>
      <c r="O90" s="17">
        <f>+IF(O9&gt;Tablas!$AG$23,0,MIN(O89,ROUND((O$162-N$162)*0.4,2)))</f>
        <v>0</v>
      </c>
      <c r="P90" s="17">
        <f>+IF(P9&gt;Tablas!$AG$23,0,MIN(P89,ROUND((P$162-O$162)*0.4,2)))</f>
        <v>0</v>
      </c>
      <c r="Q90" s="17">
        <f>+IF(Q9&gt;Tablas!$AG$23,0,MIN(Q89,ROUND((Q$162-P$162)*0.4,2)))</f>
        <v>0</v>
      </c>
      <c r="R90" s="17">
        <f>+IF(R9&gt;Tablas!$AG$23,0,MIN(R89,ROUND((R$162-Q$162)*0.4,2)))</f>
        <v>0</v>
      </c>
      <c r="S90" s="17">
        <f>+IF(S9&gt;Tablas!$AG$23,0,MIN(S89,ROUND((S$162-R$162)*0.4,2)))</f>
        <v>0</v>
      </c>
      <c r="T90" s="17">
        <f>+IF(T9&gt;Tablas!$AG$23,0,MIN(T89,ROUND((T$162-S$162)*0.4,2)))</f>
        <v>0</v>
      </c>
      <c r="U90" s="139">
        <f>+IF(U9&gt;Tablas!$AG$23,0,MIN(U89,ROUND((U$162-T$162)*0.4,2)))</f>
        <v>0</v>
      </c>
      <c r="V90" s="161"/>
      <c r="W90" s="135"/>
      <c r="X90" s="29"/>
      <c r="Y90" s="29"/>
      <c r="Z90" s="29"/>
      <c r="AA90" s="22"/>
      <c r="AB90" s="22"/>
      <c r="AC90" s="22"/>
      <c r="AD90" s="22"/>
      <c r="AE90" s="22"/>
      <c r="AF90" s="22"/>
      <c r="AG90" s="22"/>
    </row>
    <row r="91" spans="1:33" x14ac:dyDescent="0.2">
      <c r="A91" s="170" t="s">
        <v>104</v>
      </c>
      <c r="B91" s="62" t="s">
        <v>161</v>
      </c>
      <c r="C91" s="251"/>
      <c r="D91" s="251"/>
      <c r="E91" s="62" t="s">
        <v>382</v>
      </c>
      <c r="F91" s="160" t="s">
        <v>24</v>
      </c>
      <c r="G91" s="180"/>
      <c r="H91" s="17">
        <f>+H89-H90</f>
        <v>0</v>
      </c>
      <c r="I91" s="17">
        <f t="shared" ref="I91:U91" si="35">+I89-I90</f>
        <v>0</v>
      </c>
      <c r="J91" s="17">
        <f t="shared" si="35"/>
        <v>0</v>
      </c>
      <c r="K91" s="17">
        <f t="shared" si="35"/>
        <v>0</v>
      </c>
      <c r="L91" s="17">
        <f t="shared" si="35"/>
        <v>0</v>
      </c>
      <c r="M91" s="17">
        <f t="shared" si="35"/>
        <v>0</v>
      </c>
      <c r="N91" s="17">
        <f t="shared" si="35"/>
        <v>0</v>
      </c>
      <c r="O91" s="17">
        <f t="shared" si="35"/>
        <v>0</v>
      </c>
      <c r="P91" s="17">
        <f t="shared" si="35"/>
        <v>0</v>
      </c>
      <c r="Q91" s="17">
        <f t="shared" si="35"/>
        <v>0</v>
      </c>
      <c r="R91" s="17">
        <f t="shared" si="35"/>
        <v>0</v>
      </c>
      <c r="S91" s="17">
        <f t="shared" si="35"/>
        <v>0</v>
      </c>
      <c r="T91" s="17">
        <f t="shared" si="35"/>
        <v>0</v>
      </c>
      <c r="U91" s="139">
        <f t="shared" si="35"/>
        <v>0</v>
      </c>
      <c r="V91" s="161"/>
      <c r="W91" s="135"/>
      <c r="X91" s="29"/>
      <c r="Y91" s="29"/>
      <c r="Z91" s="29"/>
      <c r="AA91" s="22"/>
      <c r="AB91" s="22"/>
      <c r="AC91" s="22"/>
      <c r="AD91" s="22"/>
      <c r="AE91" s="22"/>
      <c r="AF91" s="22"/>
      <c r="AG91" s="22"/>
    </row>
    <row r="92" spans="1:33" x14ac:dyDescent="0.2">
      <c r="A92" s="170" t="s">
        <v>104</v>
      </c>
      <c r="B92" s="62" t="s">
        <v>388</v>
      </c>
      <c r="C92" s="62" t="s">
        <v>285</v>
      </c>
      <c r="D92" s="251"/>
      <c r="E92" s="62" t="s">
        <v>391</v>
      </c>
      <c r="F92" s="160" t="s">
        <v>24</v>
      </c>
      <c r="G92" s="180"/>
      <c r="H92" s="17">
        <f t="shared" ref="H92:U93" si="36">+SUMIF($B$16:$B$71,$B92,H$16:H$71)</f>
        <v>0</v>
      </c>
      <c r="I92" s="17">
        <f t="shared" si="36"/>
        <v>0</v>
      </c>
      <c r="J92" s="17">
        <f t="shared" si="36"/>
        <v>0</v>
      </c>
      <c r="K92" s="17">
        <f t="shared" si="36"/>
        <v>0</v>
      </c>
      <c r="L92" s="17">
        <f t="shared" si="36"/>
        <v>0</v>
      </c>
      <c r="M92" s="17">
        <f t="shared" si="36"/>
        <v>0</v>
      </c>
      <c r="N92" s="17">
        <f t="shared" si="36"/>
        <v>0</v>
      </c>
      <c r="O92" s="17">
        <f t="shared" si="36"/>
        <v>0</v>
      </c>
      <c r="P92" s="17">
        <f t="shared" si="36"/>
        <v>0</v>
      </c>
      <c r="Q92" s="17">
        <f t="shared" si="36"/>
        <v>0</v>
      </c>
      <c r="R92" s="17">
        <f t="shared" si="36"/>
        <v>0</v>
      </c>
      <c r="S92" s="17">
        <f t="shared" si="36"/>
        <v>0</v>
      </c>
      <c r="T92" s="17">
        <f t="shared" si="36"/>
        <v>0</v>
      </c>
      <c r="U92" s="139">
        <f t="shared" si="36"/>
        <v>0</v>
      </c>
      <c r="V92" s="161">
        <f>+IF(X92+X93&lt;&gt;0,ROUND(X92/(X92+X93)*MIN(X92+X93,0.4*V162),2),0)</f>
        <v>0</v>
      </c>
      <c r="W92" s="264">
        <f>+X92-V92</f>
        <v>0</v>
      </c>
      <c r="X92" s="164">
        <f t="shared" ref="X92:X93" si="37">+SUM(H92:U92)</f>
        <v>0</v>
      </c>
      <c r="Y92" s="29"/>
      <c r="Z92" s="29"/>
      <c r="AA92" s="22"/>
      <c r="AB92" s="22"/>
      <c r="AC92" s="22"/>
      <c r="AD92" s="22"/>
      <c r="AE92" s="22"/>
      <c r="AF92" s="22"/>
      <c r="AG92" s="22"/>
    </row>
    <row r="93" spans="1:33" x14ac:dyDescent="0.2">
      <c r="A93" s="170" t="s">
        <v>104</v>
      </c>
      <c r="B93" s="62" t="s">
        <v>368</v>
      </c>
      <c r="C93" s="62" t="s">
        <v>285</v>
      </c>
      <c r="D93" s="251"/>
      <c r="E93" s="62" t="s">
        <v>392</v>
      </c>
      <c r="F93" s="160" t="s">
        <v>24</v>
      </c>
      <c r="G93" s="180"/>
      <c r="H93" s="17">
        <f t="shared" si="36"/>
        <v>0</v>
      </c>
      <c r="I93" s="17">
        <f t="shared" si="36"/>
        <v>0</v>
      </c>
      <c r="J93" s="17">
        <f t="shared" si="36"/>
        <v>0</v>
      </c>
      <c r="K93" s="17">
        <f t="shared" si="36"/>
        <v>0</v>
      </c>
      <c r="L93" s="17">
        <f t="shared" si="36"/>
        <v>0</v>
      </c>
      <c r="M93" s="17">
        <f t="shared" si="36"/>
        <v>0</v>
      </c>
      <c r="N93" s="17">
        <f t="shared" si="36"/>
        <v>0</v>
      </c>
      <c r="O93" s="17">
        <f t="shared" si="36"/>
        <v>0</v>
      </c>
      <c r="P93" s="17">
        <f t="shared" si="36"/>
        <v>0</v>
      </c>
      <c r="Q93" s="17">
        <f t="shared" si="36"/>
        <v>0</v>
      </c>
      <c r="R93" s="17">
        <f t="shared" si="36"/>
        <v>0</v>
      </c>
      <c r="S93" s="17">
        <f t="shared" si="36"/>
        <v>0</v>
      </c>
      <c r="T93" s="17">
        <f t="shared" si="36"/>
        <v>0</v>
      </c>
      <c r="U93" s="139">
        <f t="shared" si="36"/>
        <v>0</v>
      </c>
      <c r="V93" s="161">
        <f>+IF(X93+X92=0,0,MIN(X92+X93,ROUND(V162*0.4,2)))-V92</f>
        <v>0</v>
      </c>
      <c r="W93" s="264">
        <f>+X93-V93</f>
        <v>0</v>
      </c>
      <c r="X93" s="164">
        <f t="shared" si="37"/>
        <v>0</v>
      </c>
      <c r="Y93" s="29"/>
      <c r="Z93" s="29"/>
      <c r="AA93" s="22"/>
      <c r="AB93" s="22"/>
      <c r="AC93" s="22"/>
      <c r="AD93" s="22"/>
      <c r="AE93" s="22"/>
      <c r="AF93" s="22"/>
      <c r="AG93" s="22"/>
    </row>
    <row r="94" spans="1:33" x14ac:dyDescent="0.2">
      <c r="A94" s="170" t="s">
        <v>104</v>
      </c>
      <c r="B94" s="62" t="s">
        <v>369</v>
      </c>
      <c r="C94" s="251"/>
      <c r="D94" s="251"/>
      <c r="E94" s="62" t="s">
        <v>394</v>
      </c>
      <c r="F94" s="160" t="s">
        <v>24</v>
      </c>
      <c r="G94" s="180"/>
      <c r="H94" s="17">
        <f t="shared" ref="H94:U94" si="38">+IF(H92+H93&lt;&gt;0,ROUND(MIN((H92+H93),(H$162-G$162)*0.4)/(H92+H93)*H92,2),0)</f>
        <v>0</v>
      </c>
      <c r="I94" s="17">
        <f t="shared" si="38"/>
        <v>0</v>
      </c>
      <c r="J94" s="17">
        <f t="shared" si="38"/>
        <v>0</v>
      </c>
      <c r="K94" s="17">
        <f t="shared" si="38"/>
        <v>0</v>
      </c>
      <c r="L94" s="17">
        <f t="shared" si="38"/>
        <v>0</v>
      </c>
      <c r="M94" s="17">
        <f t="shared" si="38"/>
        <v>0</v>
      </c>
      <c r="N94" s="17">
        <f t="shared" si="38"/>
        <v>0</v>
      </c>
      <c r="O94" s="17">
        <f t="shared" si="38"/>
        <v>0</v>
      </c>
      <c r="P94" s="17">
        <f t="shared" si="38"/>
        <v>0</v>
      </c>
      <c r="Q94" s="17">
        <f t="shared" si="38"/>
        <v>0</v>
      </c>
      <c r="R94" s="17">
        <f t="shared" si="38"/>
        <v>0</v>
      </c>
      <c r="S94" s="17">
        <f t="shared" si="38"/>
        <v>0</v>
      </c>
      <c r="T94" s="17">
        <f t="shared" si="38"/>
        <v>0</v>
      </c>
      <c r="U94" s="139">
        <f t="shared" si="38"/>
        <v>0</v>
      </c>
      <c r="V94" s="161"/>
      <c r="W94" s="135"/>
      <c r="X94" s="29"/>
      <c r="Y94" s="29"/>
      <c r="Z94" s="29"/>
      <c r="AA94" s="22"/>
      <c r="AB94" s="22"/>
      <c r="AC94" s="22"/>
      <c r="AD94" s="22"/>
      <c r="AE94" s="22"/>
      <c r="AF94" s="22"/>
      <c r="AG94" s="22"/>
    </row>
    <row r="95" spans="1:33" x14ac:dyDescent="0.2">
      <c r="A95" s="170" t="s">
        <v>104</v>
      </c>
      <c r="B95" s="62" t="s">
        <v>370</v>
      </c>
      <c r="C95" s="251"/>
      <c r="D95" s="251"/>
      <c r="E95" s="62" t="s">
        <v>393</v>
      </c>
      <c r="F95" s="160" t="s">
        <v>24</v>
      </c>
      <c r="G95" s="180"/>
      <c r="H95" s="17">
        <f t="shared" ref="H95:U95" si="39">+ROUND(MIN((H93+H94),(H$162-G$162)*0.4),2)-H94</f>
        <v>0</v>
      </c>
      <c r="I95" s="17">
        <f t="shared" si="39"/>
        <v>0</v>
      </c>
      <c r="J95" s="17">
        <f t="shared" si="39"/>
        <v>0</v>
      </c>
      <c r="K95" s="17">
        <f t="shared" si="39"/>
        <v>0</v>
      </c>
      <c r="L95" s="17">
        <f t="shared" si="39"/>
        <v>0</v>
      </c>
      <c r="M95" s="17">
        <f t="shared" si="39"/>
        <v>0</v>
      </c>
      <c r="N95" s="17">
        <f t="shared" si="39"/>
        <v>0</v>
      </c>
      <c r="O95" s="17">
        <f t="shared" si="39"/>
        <v>0</v>
      </c>
      <c r="P95" s="17">
        <f t="shared" si="39"/>
        <v>0</v>
      </c>
      <c r="Q95" s="17">
        <f t="shared" si="39"/>
        <v>0</v>
      </c>
      <c r="R95" s="17">
        <f t="shared" si="39"/>
        <v>0</v>
      </c>
      <c r="S95" s="17">
        <f t="shared" si="39"/>
        <v>0</v>
      </c>
      <c r="T95" s="17">
        <f t="shared" si="39"/>
        <v>0</v>
      </c>
      <c r="U95" s="139">
        <f t="shared" si="39"/>
        <v>0</v>
      </c>
      <c r="V95" s="161"/>
      <c r="W95" s="135"/>
      <c r="X95" s="29"/>
      <c r="Y95" s="29"/>
      <c r="Z95" s="29"/>
      <c r="AA95" s="22"/>
      <c r="AB95" s="22"/>
      <c r="AC95" s="22"/>
      <c r="AD95" s="22"/>
      <c r="AE95" s="22"/>
      <c r="AF95" s="22"/>
      <c r="AG95" s="22"/>
    </row>
    <row r="96" spans="1:33" x14ac:dyDescent="0.2">
      <c r="A96" s="170" t="s">
        <v>104</v>
      </c>
      <c r="B96" s="62" t="s">
        <v>161</v>
      </c>
      <c r="C96" s="251"/>
      <c r="D96" s="251"/>
      <c r="E96" s="62" t="s">
        <v>395</v>
      </c>
      <c r="F96" s="160" t="s">
        <v>24</v>
      </c>
      <c r="G96" s="180"/>
      <c r="H96" s="17">
        <f>+H92-H94</f>
        <v>0</v>
      </c>
      <c r="I96" s="17">
        <f t="shared" ref="I96:U96" si="40">+I92-I94</f>
        <v>0</v>
      </c>
      <c r="J96" s="17">
        <f t="shared" si="40"/>
        <v>0</v>
      </c>
      <c r="K96" s="17">
        <f t="shared" si="40"/>
        <v>0</v>
      </c>
      <c r="L96" s="17">
        <f t="shared" si="40"/>
        <v>0</v>
      </c>
      <c r="M96" s="17">
        <f t="shared" si="40"/>
        <v>0</v>
      </c>
      <c r="N96" s="17">
        <f t="shared" si="40"/>
        <v>0</v>
      </c>
      <c r="O96" s="17">
        <f t="shared" si="40"/>
        <v>0</v>
      </c>
      <c r="P96" s="17">
        <f t="shared" si="40"/>
        <v>0</v>
      </c>
      <c r="Q96" s="17">
        <f t="shared" si="40"/>
        <v>0</v>
      </c>
      <c r="R96" s="17">
        <f t="shared" si="40"/>
        <v>0</v>
      </c>
      <c r="S96" s="17">
        <f t="shared" si="40"/>
        <v>0</v>
      </c>
      <c r="T96" s="17">
        <f t="shared" si="40"/>
        <v>0</v>
      </c>
      <c r="U96" s="139">
        <f t="shared" si="40"/>
        <v>0</v>
      </c>
      <c r="V96" s="161"/>
      <c r="W96" s="135"/>
      <c r="X96" s="29"/>
      <c r="Y96" s="29"/>
      <c r="Z96" s="29"/>
      <c r="AA96" s="22"/>
      <c r="AB96" s="22"/>
      <c r="AC96" s="22"/>
      <c r="AD96" s="22"/>
      <c r="AE96" s="22"/>
      <c r="AF96" s="22"/>
      <c r="AG96" s="22"/>
    </row>
    <row r="97" spans="1:33" x14ac:dyDescent="0.2">
      <c r="A97" s="170" t="s">
        <v>104</v>
      </c>
      <c r="B97" s="62" t="s">
        <v>163</v>
      </c>
      <c r="C97" s="251"/>
      <c r="D97" s="251"/>
      <c r="E97" s="62" t="s">
        <v>396</v>
      </c>
      <c r="F97" s="160" t="s">
        <v>24</v>
      </c>
      <c r="G97" s="180"/>
      <c r="H97" s="17">
        <f>+H93-H95</f>
        <v>0</v>
      </c>
      <c r="I97" s="17">
        <f t="shared" ref="I97:U97" si="41">+I93-I95</f>
        <v>0</v>
      </c>
      <c r="J97" s="17">
        <f t="shared" si="41"/>
        <v>0</v>
      </c>
      <c r="K97" s="17">
        <f t="shared" si="41"/>
        <v>0</v>
      </c>
      <c r="L97" s="17">
        <f t="shared" si="41"/>
        <v>0</v>
      </c>
      <c r="M97" s="17">
        <f t="shared" si="41"/>
        <v>0</v>
      </c>
      <c r="N97" s="17">
        <f t="shared" si="41"/>
        <v>0</v>
      </c>
      <c r="O97" s="17">
        <f t="shared" si="41"/>
        <v>0</v>
      </c>
      <c r="P97" s="17">
        <f t="shared" si="41"/>
        <v>0</v>
      </c>
      <c r="Q97" s="17">
        <f t="shared" si="41"/>
        <v>0</v>
      </c>
      <c r="R97" s="17">
        <f t="shared" si="41"/>
        <v>0</v>
      </c>
      <c r="S97" s="17">
        <f t="shared" si="41"/>
        <v>0</v>
      </c>
      <c r="T97" s="17">
        <f t="shared" si="41"/>
        <v>0</v>
      </c>
      <c r="U97" s="139">
        <f t="shared" si="41"/>
        <v>0</v>
      </c>
      <c r="V97" s="161"/>
      <c r="W97" s="135"/>
      <c r="X97" s="29"/>
      <c r="Y97" s="29"/>
      <c r="Z97" s="29"/>
      <c r="AA97" s="22"/>
      <c r="AB97" s="22"/>
      <c r="AC97" s="22"/>
      <c r="AD97" s="22"/>
      <c r="AE97" s="22"/>
      <c r="AF97" s="22"/>
      <c r="AG97" s="22"/>
    </row>
    <row r="98" spans="1:33" x14ac:dyDescent="0.2">
      <c r="A98" s="170" t="s">
        <v>104</v>
      </c>
      <c r="B98" s="99" t="s">
        <v>371</v>
      </c>
      <c r="C98" s="251"/>
      <c r="D98" s="251"/>
      <c r="E98" s="62" t="s">
        <v>374</v>
      </c>
      <c r="F98" s="160" t="s">
        <v>24</v>
      </c>
      <c r="G98" s="180"/>
      <c r="H98" s="17">
        <f>+SUMIF($B$16:$B$71,$B98,H$16:H$71)</f>
        <v>0</v>
      </c>
      <c r="I98" s="17">
        <f t="shared" ref="I98:U98" si="42">+SUMIF($B$16:$B$71,$B98,I$16:I$71)</f>
        <v>0</v>
      </c>
      <c r="J98" s="17">
        <f t="shared" si="42"/>
        <v>0</v>
      </c>
      <c r="K98" s="17">
        <f t="shared" si="42"/>
        <v>0</v>
      </c>
      <c r="L98" s="17">
        <f t="shared" si="42"/>
        <v>0</v>
      </c>
      <c r="M98" s="17">
        <f t="shared" si="42"/>
        <v>0</v>
      </c>
      <c r="N98" s="17">
        <f t="shared" si="42"/>
        <v>0</v>
      </c>
      <c r="O98" s="17">
        <f t="shared" si="42"/>
        <v>0</v>
      </c>
      <c r="P98" s="17">
        <f t="shared" si="42"/>
        <v>0</v>
      </c>
      <c r="Q98" s="17">
        <f t="shared" si="42"/>
        <v>0</v>
      </c>
      <c r="R98" s="17">
        <f t="shared" si="42"/>
        <v>0</v>
      </c>
      <c r="S98" s="17">
        <f t="shared" si="42"/>
        <v>0</v>
      </c>
      <c r="T98" s="17">
        <f t="shared" si="42"/>
        <v>0</v>
      </c>
      <c r="U98" s="17">
        <f t="shared" si="42"/>
        <v>0</v>
      </c>
      <c r="V98" s="265">
        <f>+MIN(X98,ROUND(0.4*$V$162,2))</f>
        <v>0</v>
      </c>
      <c r="W98" s="264">
        <f>+X98-V98</f>
        <v>0</v>
      </c>
      <c r="X98" s="164">
        <f t="shared" ref="X98" si="43">+SUM(H98:U98)</f>
        <v>0</v>
      </c>
      <c r="Y98" s="29"/>
      <c r="Z98" s="29"/>
      <c r="AA98" s="22"/>
      <c r="AB98" s="22"/>
      <c r="AC98" s="22"/>
      <c r="AD98" s="22"/>
      <c r="AE98" s="22"/>
      <c r="AF98" s="22"/>
      <c r="AG98" s="22"/>
    </row>
    <row r="99" spans="1:33" x14ac:dyDescent="0.2">
      <c r="A99" s="170" t="s">
        <v>104</v>
      </c>
      <c r="B99" s="62" t="s">
        <v>370</v>
      </c>
      <c r="C99" s="62" t="s">
        <v>285</v>
      </c>
      <c r="D99" s="251"/>
      <c r="E99" s="62" t="s">
        <v>376</v>
      </c>
      <c r="F99" s="160" t="s">
        <v>24</v>
      </c>
      <c r="G99" s="180"/>
      <c r="H99" s="17">
        <f>+IF(H12&gt;Tablas!$AG$23,0,MIN(H98,ROUND((H$162-G$162)*0.4,2)))</f>
        <v>0</v>
      </c>
      <c r="I99" s="17">
        <f>+IF(I12&gt;Tablas!$AG$23,0,MIN(I98,ROUND((I$162-H$162)*0.4,2)))</f>
        <v>0</v>
      </c>
      <c r="J99" s="17">
        <f>+IF(J12&gt;Tablas!$AG$23,0,MIN(J98,ROUND((J$162-I$162)*0.4,2)))</f>
        <v>0</v>
      </c>
      <c r="K99" s="17">
        <f>+IF(K12&gt;Tablas!$AG$23,0,MIN(K98,ROUND((K$162-J$162)*0.4,2)))</f>
        <v>0</v>
      </c>
      <c r="L99" s="17">
        <f>+IF(L12&gt;Tablas!$AG$23,0,MIN(L98,ROUND((L$162-K$162)*0.4,2)))</f>
        <v>0</v>
      </c>
      <c r="M99" s="17">
        <f>+IF(M12&gt;Tablas!$AG$23,0,MIN(M98,ROUND((M$162-L$162)*0.4,2)))</f>
        <v>0</v>
      </c>
      <c r="N99" s="17">
        <f>+IF(N12&gt;Tablas!$AG$23,0,MIN(N98,ROUND((N$162-M$162)*0.4,2)))</f>
        <v>0</v>
      </c>
      <c r="O99" s="17">
        <f>+IF(O12&gt;Tablas!$AG$23,0,MIN(O98,ROUND((O$162-N$162)*0.4,2)))</f>
        <v>0</v>
      </c>
      <c r="P99" s="17">
        <f>+IF(P12&gt;Tablas!$AG$23,0,MIN(P98,ROUND((P$162-O$162)*0.4,2)))</f>
        <v>0</v>
      </c>
      <c r="Q99" s="17">
        <f>+IF(Q12&gt;Tablas!$AG$23,0,MIN(Q98,ROUND((Q$162-P$162)*0.4,2)))</f>
        <v>0</v>
      </c>
      <c r="R99" s="17">
        <f>+IF(R12&gt;Tablas!$AG$23,0,MIN(R98,ROUND((R$162-Q$162)*0.4,2)))</f>
        <v>0</v>
      </c>
      <c r="S99" s="17">
        <f>+IF(S12&gt;Tablas!$AG$23,0,MIN(S98,ROUND((S$162-R$162)*0.4,2)))</f>
        <v>0</v>
      </c>
      <c r="T99" s="17">
        <f>+IF(T12&gt;Tablas!$AG$23,0,MIN(T98,ROUND((T$162-S$162)*0.4,2)))</f>
        <v>0</v>
      </c>
      <c r="U99" s="139">
        <f>+IF(U12&gt;Tablas!$AG$23,0,MIN(U98,ROUND((U$162-T$162)*0.4,2)))</f>
        <v>0</v>
      </c>
      <c r="V99" s="161"/>
      <c r="W99" s="135"/>
      <c r="X99" s="29"/>
      <c r="Y99" s="29"/>
      <c r="Z99" s="29"/>
      <c r="AA99" s="22"/>
      <c r="AB99" s="22"/>
      <c r="AC99" s="22"/>
      <c r="AD99" s="22"/>
      <c r="AE99" s="22"/>
      <c r="AF99" s="22"/>
      <c r="AG99" s="22"/>
    </row>
    <row r="100" spans="1:33" x14ac:dyDescent="0.2">
      <c r="A100" s="170" t="s">
        <v>104</v>
      </c>
      <c r="B100" s="62" t="s">
        <v>163</v>
      </c>
      <c r="C100" s="251"/>
      <c r="D100" s="251"/>
      <c r="E100" s="62" t="s">
        <v>377</v>
      </c>
      <c r="F100" s="160" t="s">
        <v>24</v>
      </c>
      <c r="G100" s="180"/>
      <c r="H100" s="17">
        <f>+H98-H99</f>
        <v>0</v>
      </c>
      <c r="I100" s="17">
        <f t="shared" ref="I100:U100" si="44">+I98-I99</f>
        <v>0</v>
      </c>
      <c r="J100" s="17">
        <f t="shared" si="44"/>
        <v>0</v>
      </c>
      <c r="K100" s="17">
        <f t="shared" si="44"/>
        <v>0</v>
      </c>
      <c r="L100" s="17">
        <f t="shared" si="44"/>
        <v>0</v>
      </c>
      <c r="M100" s="17">
        <f t="shared" si="44"/>
        <v>0</v>
      </c>
      <c r="N100" s="17">
        <f t="shared" si="44"/>
        <v>0</v>
      </c>
      <c r="O100" s="17">
        <f t="shared" si="44"/>
        <v>0</v>
      </c>
      <c r="P100" s="17">
        <f t="shared" si="44"/>
        <v>0</v>
      </c>
      <c r="Q100" s="17">
        <f t="shared" si="44"/>
        <v>0</v>
      </c>
      <c r="R100" s="17">
        <f t="shared" si="44"/>
        <v>0</v>
      </c>
      <c r="S100" s="17">
        <f t="shared" si="44"/>
        <v>0</v>
      </c>
      <c r="T100" s="17">
        <f t="shared" si="44"/>
        <v>0</v>
      </c>
      <c r="U100" s="139">
        <f t="shared" si="44"/>
        <v>0</v>
      </c>
      <c r="V100" s="161"/>
      <c r="W100" s="135"/>
      <c r="X100" s="29"/>
      <c r="Y100" s="29"/>
      <c r="Z100" s="29"/>
      <c r="AA100" s="22"/>
      <c r="AB100" s="22"/>
      <c r="AC100" s="22"/>
      <c r="AD100" s="22"/>
      <c r="AE100" s="22"/>
      <c r="AF100" s="22"/>
      <c r="AG100" s="22"/>
    </row>
    <row r="101" spans="1:33" x14ac:dyDescent="0.2">
      <c r="A101" s="170" t="s">
        <v>104</v>
      </c>
      <c r="B101" s="99" t="s">
        <v>389</v>
      </c>
      <c r="C101" s="251"/>
      <c r="D101" s="251"/>
      <c r="E101" s="76" t="s">
        <v>375</v>
      </c>
      <c r="F101" s="160" t="s">
        <v>24</v>
      </c>
      <c r="G101" s="180"/>
      <c r="H101" s="17">
        <f>+SUMIF($B$16:$B$71,$B101,H$16:H$71)</f>
        <v>0</v>
      </c>
      <c r="I101" s="17">
        <f t="shared" ref="I101:U101" si="45">+SUMIF($B$16:$B$71,$B101,I$16:I$71)</f>
        <v>0</v>
      </c>
      <c r="J101" s="17">
        <f t="shared" si="45"/>
        <v>0</v>
      </c>
      <c r="K101" s="17">
        <f t="shared" si="45"/>
        <v>0</v>
      </c>
      <c r="L101" s="17">
        <f t="shared" si="45"/>
        <v>0</v>
      </c>
      <c r="M101" s="17">
        <f t="shared" si="45"/>
        <v>0</v>
      </c>
      <c r="N101" s="17">
        <f t="shared" si="45"/>
        <v>0</v>
      </c>
      <c r="O101" s="17">
        <f t="shared" si="45"/>
        <v>0</v>
      </c>
      <c r="P101" s="17">
        <f t="shared" si="45"/>
        <v>0</v>
      </c>
      <c r="Q101" s="17">
        <f t="shared" si="45"/>
        <v>0</v>
      </c>
      <c r="R101" s="17">
        <f t="shared" si="45"/>
        <v>0</v>
      </c>
      <c r="S101" s="17">
        <f t="shared" si="45"/>
        <v>0</v>
      </c>
      <c r="T101" s="17">
        <f t="shared" si="45"/>
        <v>0</v>
      </c>
      <c r="U101" s="17">
        <f t="shared" si="45"/>
        <v>0</v>
      </c>
      <c r="V101" s="265">
        <f>+MIN(X101,ROUND(0.4*$V$162,2))</f>
        <v>0</v>
      </c>
      <c r="W101" s="264">
        <f>+X101-V101</f>
        <v>0</v>
      </c>
      <c r="X101" s="164">
        <f t="shared" ref="X101" si="46">+SUM(H101:U101)</f>
        <v>0</v>
      </c>
      <c r="Y101" s="29"/>
      <c r="Z101" s="29"/>
      <c r="AA101" s="22"/>
      <c r="AB101" s="22"/>
      <c r="AC101" s="22"/>
      <c r="AD101" s="22"/>
      <c r="AE101" s="22"/>
      <c r="AF101" s="22"/>
      <c r="AG101" s="22"/>
    </row>
    <row r="102" spans="1:33" x14ac:dyDescent="0.2">
      <c r="A102" s="170" t="s">
        <v>104</v>
      </c>
      <c r="B102" s="62" t="s">
        <v>370</v>
      </c>
      <c r="C102" s="251"/>
      <c r="D102" s="251"/>
      <c r="E102" s="76" t="s">
        <v>378</v>
      </c>
      <c r="F102" s="160" t="s">
        <v>24</v>
      </c>
      <c r="G102" s="180"/>
      <c r="H102" s="17">
        <f>+IF(H15&gt;Tablas!$AG$23,0,MIN(H101,ROUND((H$162-G$162)*0.4,2)))</f>
        <v>0</v>
      </c>
      <c r="I102" s="17">
        <f>+IF(I15&gt;Tablas!$AG$23,0,MIN(I101,ROUND((I$162-H$162)*0.4,2)))</f>
        <v>0</v>
      </c>
      <c r="J102" s="17">
        <f>+IF(J15&gt;Tablas!$AG$23,0,MIN(J101,ROUND((J$162-I$162)*0.4,2)))</f>
        <v>0</v>
      </c>
      <c r="K102" s="17">
        <f>+IF(K15&gt;Tablas!$AG$23,0,MIN(K101,ROUND((K$162-J$162)*0.4,2)))</f>
        <v>0</v>
      </c>
      <c r="L102" s="17">
        <f>+IF(L15&gt;Tablas!$AG$23,0,MIN(L101,ROUND((L$162-K$162)*0.4,2)))</f>
        <v>0</v>
      </c>
      <c r="M102" s="17">
        <f>+IF(M15&gt;Tablas!$AG$23,0,MIN(M101,ROUND((M$162-L$162)*0.4,2)))</f>
        <v>0</v>
      </c>
      <c r="N102" s="17">
        <f>+IF(N15&gt;Tablas!$AG$23,0,MIN(N101,ROUND((N$162-M$162)*0.4,2)))</f>
        <v>0</v>
      </c>
      <c r="O102" s="17">
        <f>+IF(O15&gt;Tablas!$AG$23,0,MIN(O101,ROUND((O$162-N$162)*0.4,2)))</f>
        <v>0</v>
      </c>
      <c r="P102" s="17">
        <f>+IF(P15&gt;Tablas!$AG$23,0,MIN(P101,ROUND((P$162-O$162)*0.4,2)))</f>
        <v>0</v>
      </c>
      <c r="Q102" s="17">
        <f>+IF(Q15&gt;Tablas!$AG$23,0,MIN(Q101,ROUND((Q$162-P$162)*0.4,2)))</f>
        <v>0</v>
      </c>
      <c r="R102" s="17">
        <f>+IF(R15&gt;Tablas!$AG$23,0,MIN(R101,ROUND((R$162-Q$162)*0.4,2)))</f>
        <v>0</v>
      </c>
      <c r="S102" s="17">
        <f>+IF(S15&gt;Tablas!$AG$23,0,MIN(S101,ROUND((S$162-R$162)*0.4,2)))</f>
        <v>0</v>
      </c>
      <c r="T102" s="17">
        <f>+IF(T15&gt;Tablas!$AG$23,0,MIN(T101,ROUND((T$162-S$162)*0.4,2)))</f>
        <v>0</v>
      </c>
      <c r="U102" s="139">
        <f>+IF(U15&gt;Tablas!$AG$23,0,MIN(U101,ROUND((U$162-T$162)*0.4,2)))</f>
        <v>0</v>
      </c>
      <c r="V102" s="161"/>
      <c r="W102" s="135"/>
      <c r="X102" s="29"/>
      <c r="Y102" s="29"/>
      <c r="Z102" s="29"/>
      <c r="AA102" s="22"/>
      <c r="AB102" s="22"/>
      <c r="AC102" s="22"/>
      <c r="AD102" s="22"/>
      <c r="AE102" s="22"/>
      <c r="AF102" s="22"/>
      <c r="AG102" s="22"/>
    </row>
    <row r="103" spans="1:33" ht="13.5" thickBot="1" x14ac:dyDescent="0.25">
      <c r="A103" s="170" t="s">
        <v>104</v>
      </c>
      <c r="B103" s="261" t="s">
        <v>163</v>
      </c>
      <c r="C103" s="252"/>
      <c r="D103" s="252"/>
      <c r="E103" s="253" t="s">
        <v>379</v>
      </c>
      <c r="F103" s="254" t="s">
        <v>24</v>
      </c>
      <c r="G103" s="180"/>
      <c r="H103" s="17">
        <f>+H101-H102</f>
        <v>0</v>
      </c>
      <c r="I103" s="17">
        <f t="shared" ref="I103:U103" si="47">+I101-I102</f>
        <v>0</v>
      </c>
      <c r="J103" s="17">
        <f t="shared" si="47"/>
        <v>0</v>
      </c>
      <c r="K103" s="17">
        <f t="shared" si="47"/>
        <v>0</v>
      </c>
      <c r="L103" s="17">
        <f t="shared" si="47"/>
        <v>0</v>
      </c>
      <c r="M103" s="17">
        <f t="shared" si="47"/>
        <v>0</v>
      </c>
      <c r="N103" s="17">
        <f t="shared" si="47"/>
        <v>0</v>
      </c>
      <c r="O103" s="17">
        <f t="shared" si="47"/>
        <v>0</v>
      </c>
      <c r="P103" s="17">
        <f t="shared" si="47"/>
        <v>0</v>
      </c>
      <c r="Q103" s="17">
        <f t="shared" si="47"/>
        <v>0</v>
      </c>
      <c r="R103" s="17">
        <f t="shared" si="47"/>
        <v>0</v>
      </c>
      <c r="S103" s="17">
        <f t="shared" si="47"/>
        <v>0</v>
      </c>
      <c r="T103" s="17">
        <f t="shared" si="47"/>
        <v>0</v>
      </c>
      <c r="U103" s="139">
        <f t="shared" si="47"/>
        <v>0</v>
      </c>
      <c r="V103" s="161"/>
      <c r="W103" s="135"/>
      <c r="X103" s="29"/>
      <c r="Y103" s="29"/>
      <c r="Z103" s="29"/>
      <c r="AA103" s="22"/>
      <c r="AB103" s="22"/>
      <c r="AC103" s="22"/>
      <c r="AD103" s="22"/>
      <c r="AE103" s="22"/>
      <c r="AF103" s="22"/>
      <c r="AG103" s="22"/>
    </row>
    <row r="104" spans="1:33" x14ac:dyDescent="0.2">
      <c r="A104" s="170" t="s">
        <v>104</v>
      </c>
      <c r="B104" s="75" t="s">
        <v>161</v>
      </c>
      <c r="C104" s="75" t="s">
        <v>94</v>
      </c>
      <c r="D104" s="75"/>
      <c r="E104" s="75" t="s">
        <v>166</v>
      </c>
      <c r="F104" s="160" t="s">
        <v>24</v>
      </c>
      <c r="G104" s="183"/>
      <c r="H104" s="17">
        <f>+SUMIF($B$16:$B$103,$B104,H$16:H$103)</f>
        <v>0</v>
      </c>
      <c r="I104" s="17">
        <f t="shared" ref="I104:U105" si="48">+SUMIF($B$16:$B$40,$B104,I$16:I$40)</f>
        <v>0</v>
      </c>
      <c r="J104" s="17">
        <f t="shared" si="48"/>
        <v>0</v>
      </c>
      <c r="K104" s="17">
        <f t="shared" si="48"/>
        <v>0</v>
      </c>
      <c r="L104" s="17">
        <f t="shared" si="48"/>
        <v>0</v>
      </c>
      <c r="M104" s="17">
        <f t="shared" si="48"/>
        <v>0</v>
      </c>
      <c r="N104" s="17">
        <f t="shared" si="48"/>
        <v>0</v>
      </c>
      <c r="O104" s="17">
        <f t="shared" si="48"/>
        <v>0</v>
      </c>
      <c r="P104" s="17">
        <f t="shared" si="48"/>
        <v>0</v>
      </c>
      <c r="Q104" s="17">
        <f t="shared" si="48"/>
        <v>0</v>
      </c>
      <c r="R104" s="17">
        <f t="shared" si="48"/>
        <v>0</v>
      </c>
      <c r="S104" s="17">
        <f t="shared" si="48"/>
        <v>0</v>
      </c>
      <c r="T104" s="17">
        <f t="shared" si="48"/>
        <v>0</v>
      </c>
      <c r="U104" s="17">
        <f t="shared" si="48"/>
        <v>0</v>
      </c>
      <c r="V104" s="152"/>
      <c r="W104" s="135"/>
      <c r="X104" s="29"/>
      <c r="Y104" s="29"/>
      <c r="Z104" s="29"/>
      <c r="AA104" s="22"/>
      <c r="AB104" s="22"/>
      <c r="AC104" s="22"/>
      <c r="AD104" s="22"/>
      <c r="AE104" s="22"/>
      <c r="AF104" s="22"/>
      <c r="AG104" s="22"/>
    </row>
    <row r="105" spans="1:33" x14ac:dyDescent="0.2">
      <c r="A105" s="170" t="s">
        <v>104</v>
      </c>
      <c r="B105" s="62" t="s">
        <v>163</v>
      </c>
      <c r="C105" s="62" t="s">
        <v>94</v>
      </c>
      <c r="D105" s="62"/>
      <c r="E105" s="62" t="s">
        <v>167</v>
      </c>
      <c r="F105" s="61" t="s">
        <v>24</v>
      </c>
      <c r="G105" s="183"/>
      <c r="H105" s="17">
        <f>+SUMIF($B$16:$B$103,$B105,H$16:H$103)</f>
        <v>0</v>
      </c>
      <c r="I105" s="17">
        <f t="shared" si="48"/>
        <v>0</v>
      </c>
      <c r="J105" s="17">
        <f t="shared" si="48"/>
        <v>0</v>
      </c>
      <c r="K105" s="17">
        <f t="shared" si="48"/>
        <v>0</v>
      </c>
      <c r="L105" s="17">
        <f t="shared" si="48"/>
        <v>0</v>
      </c>
      <c r="M105" s="17">
        <f t="shared" si="48"/>
        <v>0</v>
      </c>
      <c r="N105" s="17">
        <f t="shared" si="48"/>
        <v>0</v>
      </c>
      <c r="O105" s="17">
        <f t="shared" si="48"/>
        <v>0</v>
      </c>
      <c r="P105" s="17">
        <f t="shared" si="48"/>
        <v>0</v>
      </c>
      <c r="Q105" s="17">
        <f t="shared" si="48"/>
        <v>0</v>
      </c>
      <c r="R105" s="17">
        <f t="shared" si="48"/>
        <v>0</v>
      </c>
      <c r="S105" s="17">
        <f t="shared" si="48"/>
        <v>0</v>
      </c>
      <c r="T105" s="17">
        <f t="shared" si="48"/>
        <v>0</v>
      </c>
      <c r="U105" s="17">
        <f t="shared" si="48"/>
        <v>0</v>
      </c>
      <c r="V105" s="152"/>
      <c r="W105" s="135"/>
      <c r="X105" s="29"/>
      <c r="Y105" s="29"/>
      <c r="Z105" s="29"/>
      <c r="AA105" s="22"/>
      <c r="AB105" s="22"/>
      <c r="AC105" s="22"/>
      <c r="AD105" s="22"/>
      <c r="AE105" s="22"/>
      <c r="AF105" s="22"/>
      <c r="AG105" s="22"/>
    </row>
    <row r="106" spans="1:33" x14ac:dyDescent="0.2">
      <c r="A106" s="170" t="s">
        <v>104</v>
      </c>
      <c r="B106" s="31"/>
      <c r="C106" s="62" t="s">
        <v>94</v>
      </c>
      <c r="D106" s="62"/>
      <c r="E106" s="62" t="s">
        <v>170</v>
      </c>
      <c r="F106" s="61" t="s">
        <v>24</v>
      </c>
      <c r="G106" s="183"/>
      <c r="H106" s="17">
        <f t="shared" ref="H106:U106" si="49">-IF(H$40&lt;&gt;0,ROUND(H$40/H$25*H104,2),0)</f>
        <v>0</v>
      </c>
      <c r="I106" s="17">
        <f t="shared" si="49"/>
        <v>0</v>
      </c>
      <c r="J106" s="17">
        <f t="shared" si="49"/>
        <v>0</v>
      </c>
      <c r="K106" s="17">
        <f t="shared" si="49"/>
        <v>0</v>
      </c>
      <c r="L106" s="17">
        <f t="shared" si="49"/>
        <v>0</v>
      </c>
      <c r="M106" s="17">
        <f t="shared" si="49"/>
        <v>0</v>
      </c>
      <c r="N106" s="17">
        <f t="shared" si="49"/>
        <v>0</v>
      </c>
      <c r="O106" s="17">
        <f t="shared" si="49"/>
        <v>0</v>
      </c>
      <c r="P106" s="17">
        <f t="shared" si="49"/>
        <v>0</v>
      </c>
      <c r="Q106" s="17">
        <f t="shared" si="49"/>
        <v>0</v>
      </c>
      <c r="R106" s="17">
        <f t="shared" si="49"/>
        <v>0</v>
      </c>
      <c r="S106" s="17">
        <f t="shared" si="49"/>
        <v>0</v>
      </c>
      <c r="T106" s="17">
        <f t="shared" si="49"/>
        <v>0</v>
      </c>
      <c r="U106" s="17">
        <f t="shared" si="49"/>
        <v>0</v>
      </c>
      <c r="V106" s="152"/>
      <c r="W106" s="135"/>
      <c r="X106" s="29"/>
      <c r="Y106" s="29"/>
      <c r="Z106" s="29"/>
      <c r="AA106" s="22"/>
      <c r="AB106" s="22"/>
      <c r="AC106" s="22"/>
      <c r="AD106" s="22"/>
      <c r="AE106" s="22"/>
      <c r="AF106" s="22"/>
      <c r="AG106" s="22"/>
    </row>
    <row r="107" spans="1:33" x14ac:dyDescent="0.2">
      <c r="A107" s="170" t="s">
        <v>104</v>
      </c>
      <c r="B107" s="62" t="s">
        <v>162</v>
      </c>
      <c r="C107" s="62"/>
      <c r="D107" s="62" t="s">
        <v>230</v>
      </c>
      <c r="E107" s="62" t="s">
        <v>140</v>
      </c>
      <c r="F107" s="61" t="s">
        <v>24</v>
      </c>
      <c r="G107" s="183"/>
      <c r="H107" s="17">
        <f>+SUMIF($B$16:$B$103,$B107,H$16:H$103)</f>
        <v>0</v>
      </c>
      <c r="I107" s="17">
        <f t="shared" ref="I107:U108" si="50">+SUMIF($B$16:$B$40,$B107,I$16:I$40)</f>
        <v>0</v>
      </c>
      <c r="J107" s="17">
        <f t="shared" si="50"/>
        <v>0</v>
      </c>
      <c r="K107" s="17">
        <f t="shared" si="50"/>
        <v>0</v>
      </c>
      <c r="L107" s="17">
        <f t="shared" si="50"/>
        <v>0</v>
      </c>
      <c r="M107" s="17">
        <f t="shared" si="50"/>
        <v>0</v>
      </c>
      <c r="N107" s="17">
        <f t="shared" si="50"/>
        <v>0</v>
      </c>
      <c r="O107" s="17">
        <f t="shared" si="50"/>
        <v>0</v>
      </c>
      <c r="P107" s="17">
        <f t="shared" si="50"/>
        <v>0</v>
      </c>
      <c r="Q107" s="17">
        <f t="shared" si="50"/>
        <v>0</v>
      </c>
      <c r="R107" s="17">
        <f t="shared" si="50"/>
        <v>0</v>
      </c>
      <c r="S107" s="17">
        <f t="shared" si="50"/>
        <v>0</v>
      </c>
      <c r="T107" s="17">
        <f t="shared" si="50"/>
        <v>0</v>
      </c>
      <c r="U107" s="17">
        <f t="shared" si="50"/>
        <v>0</v>
      </c>
      <c r="V107" s="152"/>
      <c r="W107" s="135"/>
      <c r="X107" s="29"/>
      <c r="Y107" s="29"/>
      <c r="Z107" s="29"/>
      <c r="AA107" s="22"/>
      <c r="AB107" s="22"/>
      <c r="AC107" s="22"/>
      <c r="AD107" s="22"/>
      <c r="AE107" s="22"/>
      <c r="AF107" s="22"/>
      <c r="AG107" s="22"/>
    </row>
    <row r="108" spans="1:33" x14ac:dyDescent="0.2">
      <c r="A108" s="170" t="s">
        <v>104</v>
      </c>
      <c r="B108" s="62" t="s">
        <v>164</v>
      </c>
      <c r="C108" s="62"/>
      <c r="D108" s="62" t="s">
        <v>230</v>
      </c>
      <c r="E108" s="62" t="s">
        <v>160</v>
      </c>
      <c r="F108" s="61" t="s">
        <v>24</v>
      </c>
      <c r="G108" s="183"/>
      <c r="H108" s="17">
        <f>+SUMIF($B$16:$B$103,$B108,H$16:H$103)</f>
        <v>0</v>
      </c>
      <c r="I108" s="17">
        <f t="shared" si="50"/>
        <v>0</v>
      </c>
      <c r="J108" s="17">
        <f t="shared" si="50"/>
        <v>0</v>
      </c>
      <c r="K108" s="17">
        <f t="shared" si="50"/>
        <v>0</v>
      </c>
      <c r="L108" s="17">
        <f t="shared" si="50"/>
        <v>0</v>
      </c>
      <c r="M108" s="17">
        <f t="shared" si="50"/>
        <v>0</v>
      </c>
      <c r="N108" s="17">
        <f t="shared" si="50"/>
        <v>0</v>
      </c>
      <c r="O108" s="17">
        <f t="shared" si="50"/>
        <v>0</v>
      </c>
      <c r="P108" s="17">
        <f t="shared" si="50"/>
        <v>0</v>
      </c>
      <c r="Q108" s="17">
        <f t="shared" si="50"/>
        <v>0</v>
      </c>
      <c r="R108" s="17">
        <f t="shared" si="50"/>
        <v>0</v>
      </c>
      <c r="S108" s="17">
        <f t="shared" si="50"/>
        <v>0</v>
      </c>
      <c r="T108" s="17">
        <f t="shared" si="50"/>
        <v>0</v>
      </c>
      <c r="U108" s="17">
        <f t="shared" si="50"/>
        <v>0</v>
      </c>
      <c r="V108" s="152"/>
      <c r="W108" s="135"/>
      <c r="X108" s="29"/>
      <c r="Y108" s="29"/>
      <c r="Z108" s="29"/>
      <c r="AA108" s="22"/>
      <c r="AB108" s="22"/>
      <c r="AC108" s="22"/>
      <c r="AD108" s="22"/>
      <c r="AE108" s="22"/>
      <c r="AF108" s="22"/>
      <c r="AG108" s="22"/>
    </row>
    <row r="109" spans="1:33" x14ac:dyDescent="0.2">
      <c r="A109" s="170" t="s">
        <v>104</v>
      </c>
      <c r="B109" s="31"/>
      <c r="C109" s="62"/>
      <c r="D109" s="62" t="s">
        <v>230</v>
      </c>
      <c r="E109" s="62" t="s">
        <v>170</v>
      </c>
      <c r="F109" s="61" t="s">
        <v>24</v>
      </c>
      <c r="G109" s="183"/>
      <c r="H109" s="17">
        <f t="shared" ref="H109:U109" si="51">-IF(H$40&lt;&gt;0,ROUND(H$40/H$25*H107,2),0)</f>
        <v>0</v>
      </c>
      <c r="I109" s="17">
        <f t="shared" si="51"/>
        <v>0</v>
      </c>
      <c r="J109" s="17">
        <f t="shared" si="51"/>
        <v>0</v>
      </c>
      <c r="K109" s="17">
        <f t="shared" si="51"/>
        <v>0</v>
      </c>
      <c r="L109" s="17">
        <f t="shared" si="51"/>
        <v>0</v>
      </c>
      <c r="M109" s="17">
        <f t="shared" si="51"/>
        <v>0</v>
      </c>
      <c r="N109" s="17">
        <f t="shared" si="51"/>
        <v>0</v>
      </c>
      <c r="O109" s="17">
        <f t="shared" si="51"/>
        <v>0</v>
      </c>
      <c r="P109" s="17">
        <f t="shared" si="51"/>
        <v>0</v>
      </c>
      <c r="Q109" s="17">
        <f t="shared" si="51"/>
        <v>0</v>
      </c>
      <c r="R109" s="17">
        <f t="shared" si="51"/>
        <v>0</v>
      </c>
      <c r="S109" s="17">
        <f t="shared" si="51"/>
        <v>0</v>
      </c>
      <c r="T109" s="17">
        <f t="shared" si="51"/>
        <v>0</v>
      </c>
      <c r="U109" s="17">
        <f t="shared" si="51"/>
        <v>0</v>
      </c>
      <c r="V109" s="152"/>
      <c r="W109" s="156"/>
      <c r="X109" s="29"/>
      <c r="Y109" s="29"/>
      <c r="Z109" s="29"/>
      <c r="AA109" s="22"/>
      <c r="AB109" s="22"/>
      <c r="AC109" s="22"/>
      <c r="AD109" s="22"/>
      <c r="AE109" s="22"/>
      <c r="AF109" s="22"/>
      <c r="AG109" s="22"/>
    </row>
    <row r="110" spans="1:33" x14ac:dyDescent="0.2">
      <c r="A110" s="170" t="s">
        <v>104</v>
      </c>
      <c r="B110" s="62" t="s">
        <v>165</v>
      </c>
      <c r="C110" s="62"/>
      <c r="D110" s="62"/>
      <c r="E110" s="62" t="s">
        <v>168</v>
      </c>
      <c r="F110" s="61" t="s">
        <v>24</v>
      </c>
      <c r="G110" s="183"/>
      <c r="H110" s="17">
        <f>+SUMIF($B$16:$B$103,$B110,H$16:H$103)</f>
        <v>0</v>
      </c>
      <c r="I110" s="17">
        <f t="shared" ref="I110:U110" si="52">+SUMIF($B$16:$B$68,$B110,I$16:I$68)</f>
        <v>0</v>
      </c>
      <c r="J110" s="17">
        <f t="shared" si="52"/>
        <v>0</v>
      </c>
      <c r="K110" s="17">
        <f t="shared" si="52"/>
        <v>0</v>
      </c>
      <c r="L110" s="17">
        <f t="shared" si="52"/>
        <v>0</v>
      </c>
      <c r="M110" s="17">
        <f t="shared" si="52"/>
        <v>0</v>
      </c>
      <c r="N110" s="17">
        <f t="shared" si="52"/>
        <v>0</v>
      </c>
      <c r="O110" s="17">
        <f t="shared" si="52"/>
        <v>0</v>
      </c>
      <c r="P110" s="17">
        <f t="shared" si="52"/>
        <v>0</v>
      </c>
      <c r="Q110" s="17">
        <f t="shared" si="52"/>
        <v>0</v>
      </c>
      <c r="R110" s="17">
        <f t="shared" si="52"/>
        <v>0</v>
      </c>
      <c r="S110" s="17">
        <f t="shared" si="52"/>
        <v>0</v>
      </c>
      <c r="T110" s="17">
        <f t="shared" si="52"/>
        <v>0</v>
      </c>
      <c r="U110" s="17">
        <f t="shared" si="52"/>
        <v>0</v>
      </c>
      <c r="V110" s="152"/>
      <c r="W110" s="135"/>
      <c r="X110" s="29"/>
      <c r="Y110" s="29"/>
      <c r="Z110" s="29"/>
      <c r="AA110" s="22"/>
      <c r="AB110" s="22"/>
      <c r="AC110" s="22"/>
      <c r="AD110" s="22"/>
      <c r="AE110" s="22"/>
      <c r="AF110" s="22"/>
      <c r="AG110" s="22"/>
    </row>
    <row r="111" spans="1:33" x14ac:dyDescent="0.2">
      <c r="A111" s="170" t="s">
        <v>104</v>
      </c>
      <c r="B111" s="31"/>
      <c r="C111" s="62"/>
      <c r="D111" s="62"/>
      <c r="E111" s="62" t="s">
        <v>170</v>
      </c>
      <c r="F111" s="61" t="s">
        <v>24</v>
      </c>
      <c r="G111" s="183"/>
      <c r="H111" s="17">
        <f t="shared" ref="H111:U111" si="53">-IF(H$40&lt;&gt;0,ROUND(H$40/H$25*H110,2),0)</f>
        <v>0</v>
      </c>
      <c r="I111" s="17">
        <f t="shared" si="53"/>
        <v>0</v>
      </c>
      <c r="J111" s="17">
        <f t="shared" si="53"/>
        <v>0</v>
      </c>
      <c r="K111" s="17">
        <f t="shared" si="53"/>
        <v>0</v>
      </c>
      <c r="L111" s="17">
        <f t="shared" si="53"/>
        <v>0</v>
      </c>
      <c r="M111" s="17">
        <f t="shared" si="53"/>
        <v>0</v>
      </c>
      <c r="N111" s="17">
        <f t="shared" si="53"/>
        <v>0</v>
      </c>
      <c r="O111" s="17">
        <f t="shared" si="53"/>
        <v>0</v>
      </c>
      <c r="P111" s="17">
        <f t="shared" si="53"/>
        <v>0</v>
      </c>
      <c r="Q111" s="17">
        <f t="shared" si="53"/>
        <v>0</v>
      </c>
      <c r="R111" s="17">
        <f t="shared" si="53"/>
        <v>0</v>
      </c>
      <c r="S111" s="17">
        <f t="shared" si="53"/>
        <v>0</v>
      </c>
      <c r="T111" s="17">
        <f t="shared" si="53"/>
        <v>0</v>
      </c>
      <c r="U111" s="17">
        <f t="shared" si="53"/>
        <v>0</v>
      </c>
      <c r="V111" s="152"/>
      <c r="W111" s="135"/>
      <c r="X111" s="29"/>
      <c r="Y111" s="29"/>
      <c r="Z111" s="29"/>
      <c r="AA111" s="22"/>
      <c r="AB111" s="22"/>
      <c r="AC111" s="22"/>
      <c r="AD111" s="22"/>
      <c r="AE111" s="22"/>
      <c r="AF111" s="22"/>
      <c r="AG111" s="22"/>
    </row>
    <row r="112" spans="1:33" x14ac:dyDescent="0.2">
      <c r="A112" s="170" t="s">
        <v>104</v>
      </c>
      <c r="B112" s="62" t="s">
        <v>158</v>
      </c>
      <c r="C112" s="62" t="s">
        <v>94</v>
      </c>
      <c r="D112" s="62" t="s">
        <v>231</v>
      </c>
      <c r="E112" s="62" t="s">
        <v>169</v>
      </c>
      <c r="F112" s="61" t="s">
        <v>24</v>
      </c>
      <c r="G112" s="183"/>
      <c r="H112" s="17">
        <f>+SUMIF($B$16:$B$103,$B112,H$16:H$103)</f>
        <v>0</v>
      </c>
      <c r="I112" s="17">
        <f t="shared" ref="I112:U112" si="54">+SUMIF($B$16:$B$40,$B112,I$16:I$40)</f>
        <v>0</v>
      </c>
      <c r="J112" s="17">
        <f t="shared" si="54"/>
        <v>0</v>
      </c>
      <c r="K112" s="17">
        <f t="shared" si="54"/>
        <v>0</v>
      </c>
      <c r="L112" s="17">
        <f t="shared" si="54"/>
        <v>0</v>
      </c>
      <c r="M112" s="17">
        <f t="shared" si="54"/>
        <v>0</v>
      </c>
      <c r="N112" s="17">
        <f t="shared" si="54"/>
        <v>0</v>
      </c>
      <c r="O112" s="17">
        <f t="shared" si="54"/>
        <v>0</v>
      </c>
      <c r="P112" s="17">
        <f t="shared" si="54"/>
        <v>0</v>
      </c>
      <c r="Q112" s="17">
        <f t="shared" si="54"/>
        <v>0</v>
      </c>
      <c r="R112" s="17">
        <f t="shared" si="54"/>
        <v>0</v>
      </c>
      <c r="S112" s="17">
        <f t="shared" si="54"/>
        <v>0</v>
      </c>
      <c r="T112" s="17">
        <f t="shared" si="54"/>
        <v>0</v>
      </c>
      <c r="U112" s="17">
        <f t="shared" si="54"/>
        <v>0</v>
      </c>
      <c r="V112" s="152"/>
      <c r="W112" s="135"/>
      <c r="X112" s="29"/>
      <c r="Y112" s="29"/>
      <c r="Z112" s="29"/>
      <c r="AA112" s="22"/>
      <c r="AB112" s="22"/>
      <c r="AC112" s="22"/>
      <c r="AD112" s="22"/>
      <c r="AE112" s="22"/>
      <c r="AF112" s="22"/>
      <c r="AG112" s="22"/>
    </row>
    <row r="113" spans="1:33" x14ac:dyDescent="0.2">
      <c r="A113" s="170" t="s">
        <v>104</v>
      </c>
      <c r="B113" s="31"/>
      <c r="C113" s="62" t="s">
        <v>94</v>
      </c>
      <c r="D113" s="62" t="s">
        <v>231</v>
      </c>
      <c r="E113" s="62" t="s">
        <v>170</v>
      </c>
      <c r="F113" s="61" t="s">
        <v>24</v>
      </c>
      <c r="G113" s="183"/>
      <c r="H113" s="17">
        <f t="shared" ref="H113:U113" si="55">-IF(H$40&lt;&gt;0,ROUND(H$40/H$25*H112,2),0)</f>
        <v>0</v>
      </c>
      <c r="I113" s="17">
        <f t="shared" si="55"/>
        <v>0</v>
      </c>
      <c r="J113" s="17">
        <f t="shared" si="55"/>
        <v>0</v>
      </c>
      <c r="K113" s="17">
        <f t="shared" si="55"/>
        <v>0</v>
      </c>
      <c r="L113" s="17">
        <f t="shared" si="55"/>
        <v>0</v>
      </c>
      <c r="M113" s="17">
        <f t="shared" si="55"/>
        <v>0</v>
      </c>
      <c r="N113" s="17">
        <f t="shared" si="55"/>
        <v>0</v>
      </c>
      <c r="O113" s="17">
        <f t="shared" si="55"/>
        <v>0</v>
      </c>
      <c r="P113" s="17">
        <f t="shared" si="55"/>
        <v>0</v>
      </c>
      <c r="Q113" s="17">
        <f t="shared" si="55"/>
        <v>0</v>
      </c>
      <c r="R113" s="17">
        <f t="shared" si="55"/>
        <v>0</v>
      </c>
      <c r="S113" s="17">
        <f t="shared" si="55"/>
        <v>0</v>
      </c>
      <c r="T113" s="17">
        <f t="shared" si="55"/>
        <v>0</v>
      </c>
      <c r="U113" s="17">
        <f t="shared" si="55"/>
        <v>0</v>
      </c>
      <c r="V113" s="152"/>
      <c r="W113" s="135"/>
      <c r="X113" s="29"/>
      <c r="Y113" s="29"/>
      <c r="Z113" s="29"/>
      <c r="AA113" s="22"/>
      <c r="AB113" s="22"/>
      <c r="AC113" s="22"/>
      <c r="AD113" s="22"/>
      <c r="AE113" s="22"/>
      <c r="AF113" s="22"/>
      <c r="AG113" s="22"/>
    </row>
    <row r="114" spans="1:33" x14ac:dyDescent="0.2">
      <c r="A114" s="170" t="s">
        <v>104</v>
      </c>
      <c r="B114" s="62" t="s">
        <v>369</v>
      </c>
      <c r="C114" s="62"/>
      <c r="D114" s="62"/>
      <c r="E114" s="62" t="s">
        <v>205</v>
      </c>
      <c r="F114" s="61" t="s">
        <v>24</v>
      </c>
      <c r="G114" s="183"/>
      <c r="H114" s="17">
        <f>+SUMIF($B$16:$B$103,$B114,H$16:H$103)</f>
        <v>0</v>
      </c>
      <c r="I114" s="17">
        <f t="shared" ref="I114:U115" si="56">+SUMIF($B$16:$B$40,$B114,I$16:I$40)</f>
        <v>0</v>
      </c>
      <c r="J114" s="17">
        <f t="shared" si="56"/>
        <v>0</v>
      </c>
      <c r="K114" s="17">
        <f t="shared" si="56"/>
        <v>0</v>
      </c>
      <c r="L114" s="17">
        <f t="shared" si="56"/>
        <v>0</v>
      </c>
      <c r="M114" s="17">
        <f t="shared" si="56"/>
        <v>0</v>
      </c>
      <c r="N114" s="17">
        <f t="shared" si="56"/>
        <v>0</v>
      </c>
      <c r="O114" s="17">
        <f t="shared" si="56"/>
        <v>0</v>
      </c>
      <c r="P114" s="17">
        <f t="shared" si="56"/>
        <v>0</v>
      </c>
      <c r="Q114" s="17">
        <f t="shared" si="56"/>
        <v>0</v>
      </c>
      <c r="R114" s="17">
        <f t="shared" si="56"/>
        <v>0</v>
      </c>
      <c r="S114" s="17">
        <f t="shared" si="56"/>
        <v>0</v>
      </c>
      <c r="T114" s="17">
        <f t="shared" si="56"/>
        <v>0</v>
      </c>
      <c r="U114" s="17">
        <f t="shared" si="56"/>
        <v>0</v>
      </c>
      <c r="V114" s="152"/>
      <c r="W114" s="290"/>
      <c r="X114" s="29"/>
      <c r="Y114" s="29"/>
      <c r="Z114" s="29"/>
      <c r="AA114" s="22"/>
      <c r="AB114" s="22"/>
      <c r="AC114" s="22"/>
      <c r="AD114" s="22"/>
      <c r="AE114" s="22"/>
      <c r="AF114" s="22"/>
      <c r="AG114" s="22"/>
    </row>
    <row r="115" spans="1:33" x14ac:dyDescent="0.2">
      <c r="A115" s="170" t="s">
        <v>104</v>
      </c>
      <c r="B115" s="62" t="s">
        <v>370</v>
      </c>
      <c r="C115" s="62"/>
      <c r="D115" s="62"/>
      <c r="E115" s="62" t="s">
        <v>204</v>
      </c>
      <c r="F115" s="61" t="s">
        <v>24</v>
      </c>
      <c r="G115" s="183"/>
      <c r="H115" s="17">
        <f>+SUMIF($B$16:$B$103,$B115,H$16:H$103)</f>
        <v>0</v>
      </c>
      <c r="I115" s="17">
        <f t="shared" si="56"/>
        <v>0</v>
      </c>
      <c r="J115" s="17">
        <f t="shared" si="56"/>
        <v>0</v>
      </c>
      <c r="K115" s="17">
        <f t="shared" si="56"/>
        <v>0</v>
      </c>
      <c r="L115" s="17">
        <f t="shared" si="56"/>
        <v>0</v>
      </c>
      <c r="M115" s="17">
        <f t="shared" si="56"/>
        <v>0</v>
      </c>
      <c r="N115" s="17">
        <f t="shared" si="56"/>
        <v>0</v>
      </c>
      <c r="O115" s="17">
        <f t="shared" si="56"/>
        <v>0</v>
      </c>
      <c r="P115" s="17">
        <f t="shared" si="56"/>
        <v>0</v>
      </c>
      <c r="Q115" s="17">
        <f t="shared" si="56"/>
        <v>0</v>
      </c>
      <c r="R115" s="17">
        <f t="shared" si="56"/>
        <v>0</v>
      </c>
      <c r="S115" s="17">
        <f t="shared" si="56"/>
        <v>0</v>
      </c>
      <c r="T115" s="17">
        <f t="shared" si="56"/>
        <v>0</v>
      </c>
      <c r="U115" s="17">
        <f t="shared" si="56"/>
        <v>0</v>
      </c>
      <c r="V115" s="152"/>
      <c r="W115" s="290"/>
      <c r="X115" s="29"/>
      <c r="Y115" s="29"/>
      <c r="Z115" s="29"/>
      <c r="AA115" s="22"/>
      <c r="AB115" s="22"/>
      <c r="AC115" s="22"/>
      <c r="AD115" s="22"/>
      <c r="AE115" s="22"/>
      <c r="AF115" s="22"/>
      <c r="AG115" s="22"/>
    </row>
    <row r="116" spans="1:33" x14ac:dyDescent="0.2">
      <c r="A116" s="170" t="s">
        <v>104</v>
      </c>
      <c r="B116" s="31"/>
      <c r="C116" s="62"/>
      <c r="D116" s="62"/>
      <c r="E116" s="62" t="s">
        <v>170</v>
      </c>
      <c r="F116" s="61" t="s">
        <v>24</v>
      </c>
      <c r="G116" s="183"/>
      <c r="H116" s="17">
        <f t="shared" ref="H116:U116" si="57">-H40-H106-H109-H111-H113</f>
        <v>0</v>
      </c>
      <c r="I116" s="17">
        <f t="shared" si="57"/>
        <v>0</v>
      </c>
      <c r="J116" s="17">
        <f t="shared" si="57"/>
        <v>0</v>
      </c>
      <c r="K116" s="17">
        <f t="shared" si="57"/>
        <v>0</v>
      </c>
      <c r="L116" s="17">
        <f t="shared" si="57"/>
        <v>0</v>
      </c>
      <c r="M116" s="17">
        <f t="shared" si="57"/>
        <v>0</v>
      </c>
      <c r="N116" s="17">
        <f t="shared" si="57"/>
        <v>0</v>
      </c>
      <c r="O116" s="17">
        <f t="shared" si="57"/>
        <v>0</v>
      </c>
      <c r="P116" s="17">
        <f t="shared" si="57"/>
        <v>0</v>
      </c>
      <c r="Q116" s="17">
        <f t="shared" si="57"/>
        <v>0</v>
      </c>
      <c r="R116" s="17">
        <f t="shared" si="57"/>
        <v>0</v>
      </c>
      <c r="S116" s="17">
        <f t="shared" si="57"/>
        <v>0</v>
      </c>
      <c r="T116" s="17">
        <f t="shared" si="57"/>
        <v>0</v>
      </c>
      <c r="U116" s="139">
        <f t="shared" si="57"/>
        <v>0</v>
      </c>
      <c r="V116" s="89"/>
      <c r="W116" s="290"/>
      <c r="X116" s="29"/>
      <c r="Y116" s="29"/>
      <c r="Z116" s="29"/>
      <c r="AA116" s="22"/>
      <c r="AB116" s="22"/>
      <c r="AC116" s="22"/>
      <c r="AD116" s="22"/>
      <c r="AE116" s="22"/>
      <c r="AF116" s="22"/>
      <c r="AG116" s="22"/>
    </row>
    <row r="117" spans="1:33" x14ac:dyDescent="0.2">
      <c r="A117" s="170" t="s">
        <v>104</v>
      </c>
      <c r="B117" s="31"/>
      <c r="C117" s="31"/>
      <c r="D117" s="76" t="s">
        <v>171</v>
      </c>
      <c r="E117" s="45"/>
      <c r="F117" s="61" t="s">
        <v>24</v>
      </c>
      <c r="G117" s="183"/>
      <c r="H117" s="78">
        <f t="shared" ref="H117:U117" si="58">12-H1+1</f>
        <v>12</v>
      </c>
      <c r="I117" s="78">
        <f t="shared" si="58"/>
        <v>11</v>
      </c>
      <c r="J117" s="78">
        <f t="shared" si="58"/>
        <v>10</v>
      </c>
      <c r="K117" s="78">
        <f t="shared" si="58"/>
        <v>9</v>
      </c>
      <c r="L117" s="78">
        <f t="shared" si="58"/>
        <v>8</v>
      </c>
      <c r="M117" s="78">
        <f t="shared" si="58"/>
        <v>7</v>
      </c>
      <c r="N117" s="78">
        <f t="shared" si="58"/>
        <v>7</v>
      </c>
      <c r="O117" s="78">
        <f t="shared" si="58"/>
        <v>6</v>
      </c>
      <c r="P117" s="78">
        <f t="shared" si="58"/>
        <v>5</v>
      </c>
      <c r="Q117" s="78">
        <f t="shared" si="58"/>
        <v>4</v>
      </c>
      <c r="R117" s="78">
        <f t="shared" si="58"/>
        <v>3</v>
      </c>
      <c r="S117" s="78">
        <f t="shared" si="58"/>
        <v>2</v>
      </c>
      <c r="T117" s="78">
        <f t="shared" si="58"/>
        <v>1</v>
      </c>
      <c r="U117" s="78">
        <f t="shared" si="58"/>
        <v>1</v>
      </c>
      <c r="V117" s="148"/>
      <c r="W117" s="135"/>
      <c r="X117" s="29"/>
      <c r="Y117" s="29"/>
      <c r="Z117" s="29"/>
      <c r="AA117" s="22"/>
      <c r="AB117" s="22"/>
      <c r="AC117" s="22"/>
      <c r="AD117" s="22"/>
      <c r="AE117" s="22"/>
      <c r="AF117" s="22"/>
      <c r="AG117" s="22"/>
    </row>
    <row r="118" spans="1:33" x14ac:dyDescent="0.2">
      <c r="A118" s="170" t="s">
        <v>104</v>
      </c>
      <c r="B118" s="31"/>
      <c r="C118" s="31"/>
      <c r="D118" s="76" t="s">
        <v>172</v>
      </c>
      <c r="E118" s="45"/>
      <c r="F118" s="61" t="s">
        <v>24</v>
      </c>
      <c r="G118" s="183"/>
      <c r="H118" s="18">
        <f t="shared" ref="H118:U118" si="59">+SUMIF($D$104:$D$116,"p",H104:H116)/H117</f>
        <v>0</v>
      </c>
      <c r="I118" s="18">
        <f t="shared" si="59"/>
        <v>0</v>
      </c>
      <c r="J118" s="18">
        <f t="shared" si="59"/>
        <v>0</v>
      </c>
      <c r="K118" s="18">
        <f t="shared" si="59"/>
        <v>0</v>
      </c>
      <c r="L118" s="18">
        <f t="shared" si="59"/>
        <v>0</v>
      </c>
      <c r="M118" s="18">
        <f t="shared" si="59"/>
        <v>0</v>
      </c>
      <c r="N118" s="18">
        <f t="shared" si="59"/>
        <v>0</v>
      </c>
      <c r="O118" s="18">
        <f t="shared" si="59"/>
        <v>0</v>
      </c>
      <c r="P118" s="18">
        <f t="shared" si="59"/>
        <v>0</v>
      </c>
      <c r="Q118" s="18">
        <f t="shared" si="59"/>
        <v>0</v>
      </c>
      <c r="R118" s="18">
        <f t="shared" si="59"/>
        <v>0</v>
      </c>
      <c r="S118" s="18">
        <f t="shared" si="59"/>
        <v>0</v>
      </c>
      <c r="T118" s="18">
        <f t="shared" si="59"/>
        <v>0</v>
      </c>
      <c r="U118" s="18">
        <f t="shared" si="59"/>
        <v>0</v>
      </c>
      <c r="V118" s="148"/>
      <c r="W118" s="135"/>
      <c r="X118" s="29"/>
      <c r="Y118" s="29"/>
      <c r="Z118" s="29"/>
      <c r="AA118" s="22"/>
      <c r="AB118" s="22"/>
      <c r="AC118" s="22"/>
      <c r="AD118" s="22"/>
      <c r="AE118" s="22"/>
      <c r="AF118" s="22"/>
      <c r="AG118" s="22"/>
    </row>
    <row r="119" spans="1:33" x14ac:dyDescent="0.2">
      <c r="A119" s="170" t="s">
        <v>104</v>
      </c>
      <c r="B119" s="31"/>
      <c r="C119" s="31"/>
      <c r="D119" s="39">
        <v>1</v>
      </c>
      <c r="E119" s="45" t="s">
        <v>39</v>
      </c>
      <c r="F119" s="61" t="s">
        <v>24</v>
      </c>
      <c r="G119" s="183"/>
      <c r="H119" s="37">
        <f t="shared" ref="H119:U130" si="60">+IF($D119&lt;H$1,0,H$118)</f>
        <v>0</v>
      </c>
      <c r="I119" s="37">
        <f t="shared" si="60"/>
        <v>0</v>
      </c>
      <c r="J119" s="37">
        <f t="shared" si="60"/>
        <v>0</v>
      </c>
      <c r="K119" s="37">
        <f t="shared" si="60"/>
        <v>0</v>
      </c>
      <c r="L119" s="37">
        <f t="shared" si="60"/>
        <v>0</v>
      </c>
      <c r="M119" s="37">
        <f t="shared" si="60"/>
        <v>0</v>
      </c>
      <c r="N119" s="37">
        <f t="shared" si="60"/>
        <v>0</v>
      </c>
      <c r="O119" s="37">
        <f t="shared" si="60"/>
        <v>0</v>
      </c>
      <c r="P119" s="37">
        <f t="shared" si="60"/>
        <v>0</v>
      </c>
      <c r="Q119" s="37">
        <f t="shared" si="60"/>
        <v>0</v>
      </c>
      <c r="R119" s="37">
        <f t="shared" si="60"/>
        <v>0</v>
      </c>
      <c r="S119" s="37">
        <f t="shared" si="60"/>
        <v>0</v>
      </c>
      <c r="T119" s="37">
        <f t="shared" si="60"/>
        <v>0</v>
      </c>
      <c r="U119" s="37">
        <f t="shared" si="60"/>
        <v>0</v>
      </c>
      <c r="V119" s="148"/>
      <c r="W119" s="135"/>
      <c r="X119" s="29"/>
      <c r="Y119" s="100"/>
      <c r="Z119" s="29"/>
      <c r="AA119" s="101"/>
      <c r="AB119" s="22"/>
      <c r="AC119" s="22"/>
      <c r="AD119" s="22"/>
      <c r="AE119" s="22"/>
      <c r="AF119" s="22"/>
      <c r="AG119" s="22"/>
    </row>
    <row r="120" spans="1:33" x14ac:dyDescent="0.2">
      <c r="A120" s="170" t="s">
        <v>104</v>
      </c>
      <c r="B120" s="31"/>
      <c r="C120" s="31"/>
      <c r="D120" s="39">
        <v>2</v>
      </c>
      <c r="E120" s="45" t="s">
        <v>40</v>
      </c>
      <c r="F120" s="61" t="s">
        <v>24</v>
      </c>
      <c r="G120" s="183"/>
      <c r="H120" s="37">
        <f t="shared" si="60"/>
        <v>0</v>
      </c>
      <c r="I120" s="37">
        <f t="shared" si="60"/>
        <v>0</v>
      </c>
      <c r="J120" s="37">
        <f t="shared" si="60"/>
        <v>0</v>
      </c>
      <c r="K120" s="37">
        <f t="shared" si="60"/>
        <v>0</v>
      </c>
      <c r="L120" s="37">
        <f t="shared" si="60"/>
        <v>0</v>
      </c>
      <c r="M120" s="37">
        <f t="shared" si="60"/>
        <v>0</v>
      </c>
      <c r="N120" s="37">
        <f t="shared" si="60"/>
        <v>0</v>
      </c>
      <c r="O120" s="37">
        <f t="shared" si="60"/>
        <v>0</v>
      </c>
      <c r="P120" s="37">
        <f t="shared" si="60"/>
        <v>0</v>
      </c>
      <c r="Q120" s="37">
        <f t="shared" si="60"/>
        <v>0</v>
      </c>
      <c r="R120" s="37">
        <f t="shared" si="60"/>
        <v>0</v>
      </c>
      <c r="S120" s="37">
        <f t="shared" si="60"/>
        <v>0</v>
      </c>
      <c r="T120" s="37">
        <f t="shared" si="60"/>
        <v>0</v>
      </c>
      <c r="U120" s="37">
        <f t="shared" si="60"/>
        <v>0</v>
      </c>
      <c r="V120" s="148"/>
      <c r="W120" s="135"/>
      <c r="X120" s="29"/>
      <c r="Y120" s="29"/>
      <c r="Z120" s="29"/>
      <c r="AA120" s="22"/>
      <c r="AB120" s="22"/>
      <c r="AC120" s="22"/>
      <c r="AD120" s="22"/>
      <c r="AE120" s="22"/>
      <c r="AF120" s="22"/>
      <c r="AG120" s="22"/>
    </row>
    <row r="121" spans="1:33" x14ac:dyDescent="0.2">
      <c r="A121" s="170" t="s">
        <v>104</v>
      </c>
      <c r="B121" s="31"/>
      <c r="C121" s="31"/>
      <c r="D121" s="39">
        <v>3</v>
      </c>
      <c r="E121" s="45" t="s">
        <v>41</v>
      </c>
      <c r="F121" s="61" t="s">
        <v>24</v>
      </c>
      <c r="G121" s="183"/>
      <c r="H121" s="37">
        <f t="shared" si="60"/>
        <v>0</v>
      </c>
      <c r="I121" s="37">
        <f t="shared" si="60"/>
        <v>0</v>
      </c>
      <c r="J121" s="37">
        <f t="shared" si="60"/>
        <v>0</v>
      </c>
      <c r="K121" s="37">
        <f t="shared" si="60"/>
        <v>0</v>
      </c>
      <c r="L121" s="37">
        <f t="shared" si="60"/>
        <v>0</v>
      </c>
      <c r="M121" s="37">
        <f t="shared" si="60"/>
        <v>0</v>
      </c>
      <c r="N121" s="37">
        <f t="shared" si="60"/>
        <v>0</v>
      </c>
      <c r="O121" s="37">
        <f t="shared" si="60"/>
        <v>0</v>
      </c>
      <c r="P121" s="37">
        <f t="shared" si="60"/>
        <v>0</v>
      </c>
      <c r="Q121" s="37">
        <f t="shared" si="60"/>
        <v>0</v>
      </c>
      <c r="R121" s="37">
        <f t="shared" si="60"/>
        <v>0</v>
      </c>
      <c r="S121" s="37">
        <f t="shared" si="60"/>
        <v>0</v>
      </c>
      <c r="T121" s="37">
        <f t="shared" si="60"/>
        <v>0</v>
      </c>
      <c r="U121" s="37">
        <f t="shared" si="60"/>
        <v>0</v>
      </c>
      <c r="V121" s="148"/>
      <c r="W121" s="135"/>
      <c r="X121" s="29"/>
      <c r="Y121" s="100"/>
      <c r="Z121" s="29"/>
      <c r="AA121" s="101"/>
      <c r="AB121" s="22"/>
      <c r="AC121" s="22"/>
      <c r="AD121" s="22"/>
      <c r="AE121" s="22"/>
      <c r="AF121" s="22"/>
      <c r="AG121" s="22"/>
    </row>
    <row r="122" spans="1:33" x14ac:dyDescent="0.2">
      <c r="A122" s="170" t="s">
        <v>104</v>
      </c>
      <c r="B122" s="31"/>
      <c r="C122" s="31"/>
      <c r="D122" s="39">
        <v>4</v>
      </c>
      <c r="E122" s="45" t="s">
        <v>42</v>
      </c>
      <c r="F122" s="61" t="s">
        <v>24</v>
      </c>
      <c r="G122" s="183"/>
      <c r="H122" s="37">
        <f t="shared" si="60"/>
        <v>0</v>
      </c>
      <c r="I122" s="37">
        <f t="shared" si="60"/>
        <v>0</v>
      </c>
      <c r="J122" s="37">
        <f t="shared" si="60"/>
        <v>0</v>
      </c>
      <c r="K122" s="37">
        <f t="shared" si="60"/>
        <v>0</v>
      </c>
      <c r="L122" s="37">
        <f t="shared" si="60"/>
        <v>0</v>
      </c>
      <c r="M122" s="37">
        <f t="shared" si="60"/>
        <v>0</v>
      </c>
      <c r="N122" s="37">
        <f t="shared" si="60"/>
        <v>0</v>
      </c>
      <c r="O122" s="37">
        <f t="shared" si="60"/>
        <v>0</v>
      </c>
      <c r="P122" s="37">
        <f t="shared" si="60"/>
        <v>0</v>
      </c>
      <c r="Q122" s="37">
        <f t="shared" si="60"/>
        <v>0</v>
      </c>
      <c r="R122" s="37">
        <f t="shared" si="60"/>
        <v>0</v>
      </c>
      <c r="S122" s="37">
        <f t="shared" si="60"/>
        <v>0</v>
      </c>
      <c r="T122" s="37">
        <f t="shared" si="60"/>
        <v>0</v>
      </c>
      <c r="U122" s="37">
        <f t="shared" si="60"/>
        <v>0</v>
      </c>
      <c r="V122" s="148"/>
      <c r="W122" s="135"/>
      <c r="X122" s="29"/>
      <c r="Y122" s="100"/>
      <c r="Z122" s="29"/>
      <c r="AA122" s="101"/>
      <c r="AB122" s="22"/>
      <c r="AC122" s="22"/>
      <c r="AD122" s="22"/>
      <c r="AE122" s="22"/>
      <c r="AF122" s="22"/>
      <c r="AG122" s="22"/>
    </row>
    <row r="123" spans="1:33" x14ac:dyDescent="0.2">
      <c r="A123" s="170" t="s">
        <v>104</v>
      </c>
      <c r="B123" s="31"/>
      <c r="C123" s="31"/>
      <c r="D123" s="39">
        <v>5</v>
      </c>
      <c r="E123" s="45" t="s">
        <v>43</v>
      </c>
      <c r="F123" s="61" t="s">
        <v>24</v>
      </c>
      <c r="G123" s="183"/>
      <c r="H123" s="37">
        <f t="shared" si="60"/>
        <v>0</v>
      </c>
      <c r="I123" s="37">
        <f t="shared" si="60"/>
        <v>0</v>
      </c>
      <c r="J123" s="37">
        <f t="shared" si="60"/>
        <v>0</v>
      </c>
      <c r="K123" s="37">
        <f t="shared" si="60"/>
        <v>0</v>
      </c>
      <c r="L123" s="37">
        <f t="shared" si="60"/>
        <v>0</v>
      </c>
      <c r="M123" s="37">
        <f t="shared" si="60"/>
        <v>0</v>
      </c>
      <c r="N123" s="37">
        <f t="shared" si="60"/>
        <v>0</v>
      </c>
      <c r="O123" s="37">
        <f t="shared" si="60"/>
        <v>0</v>
      </c>
      <c r="P123" s="37">
        <f t="shared" si="60"/>
        <v>0</v>
      </c>
      <c r="Q123" s="37">
        <f t="shared" si="60"/>
        <v>0</v>
      </c>
      <c r="R123" s="37">
        <f t="shared" si="60"/>
        <v>0</v>
      </c>
      <c r="S123" s="37">
        <f t="shared" si="60"/>
        <v>0</v>
      </c>
      <c r="T123" s="37">
        <f t="shared" si="60"/>
        <v>0</v>
      </c>
      <c r="U123" s="37">
        <f t="shared" si="60"/>
        <v>0</v>
      </c>
      <c r="V123" s="148"/>
      <c r="W123" s="135"/>
      <c r="X123" s="29"/>
      <c r="Y123" s="100"/>
      <c r="Z123" s="29"/>
      <c r="AA123" s="101"/>
      <c r="AB123" s="22"/>
      <c r="AC123" s="22"/>
      <c r="AD123" s="22"/>
      <c r="AE123" s="22"/>
      <c r="AF123" s="22"/>
      <c r="AG123" s="22"/>
    </row>
    <row r="124" spans="1:33" x14ac:dyDescent="0.2">
      <c r="A124" s="170" t="s">
        <v>104</v>
      </c>
      <c r="B124" s="31"/>
      <c r="C124" s="31"/>
      <c r="D124" s="39">
        <v>6</v>
      </c>
      <c r="E124" s="45" t="s">
        <v>44</v>
      </c>
      <c r="F124" s="61" t="s">
        <v>24</v>
      </c>
      <c r="G124" s="183"/>
      <c r="H124" s="37">
        <f t="shared" si="60"/>
        <v>0</v>
      </c>
      <c r="I124" s="37">
        <f t="shared" si="60"/>
        <v>0</v>
      </c>
      <c r="J124" s="37">
        <f t="shared" si="60"/>
        <v>0</v>
      </c>
      <c r="K124" s="37">
        <f t="shared" si="60"/>
        <v>0</v>
      </c>
      <c r="L124" s="37">
        <f t="shared" si="60"/>
        <v>0</v>
      </c>
      <c r="M124" s="37">
        <f t="shared" si="60"/>
        <v>0</v>
      </c>
      <c r="N124" s="37">
        <f t="shared" si="60"/>
        <v>0</v>
      </c>
      <c r="O124" s="37">
        <f t="shared" si="60"/>
        <v>0</v>
      </c>
      <c r="P124" s="37">
        <f t="shared" si="60"/>
        <v>0</v>
      </c>
      <c r="Q124" s="37">
        <f t="shared" si="60"/>
        <v>0</v>
      </c>
      <c r="R124" s="37">
        <f t="shared" si="60"/>
        <v>0</v>
      </c>
      <c r="S124" s="37">
        <f t="shared" si="60"/>
        <v>0</v>
      </c>
      <c r="T124" s="37">
        <f t="shared" si="60"/>
        <v>0</v>
      </c>
      <c r="U124" s="37">
        <f t="shared" si="60"/>
        <v>0</v>
      </c>
      <c r="V124" s="148"/>
      <c r="W124" s="135"/>
      <c r="X124" s="29"/>
      <c r="Y124" s="29"/>
      <c r="Z124" s="29"/>
      <c r="AA124" s="101"/>
      <c r="AB124" s="22"/>
      <c r="AC124" s="22"/>
      <c r="AD124" s="22"/>
      <c r="AE124" s="22"/>
      <c r="AF124" s="22"/>
      <c r="AG124" s="22"/>
    </row>
    <row r="125" spans="1:33" x14ac:dyDescent="0.2">
      <c r="A125" s="170" t="s">
        <v>104</v>
      </c>
      <c r="B125" s="31"/>
      <c r="C125" s="31"/>
      <c r="D125" s="39">
        <v>7</v>
      </c>
      <c r="E125" s="45" t="s">
        <v>45</v>
      </c>
      <c r="F125" s="61" t="s">
        <v>24</v>
      </c>
      <c r="G125" s="183"/>
      <c r="H125" s="37">
        <f t="shared" si="60"/>
        <v>0</v>
      </c>
      <c r="I125" s="37">
        <f t="shared" si="60"/>
        <v>0</v>
      </c>
      <c r="J125" s="37">
        <f t="shared" si="60"/>
        <v>0</v>
      </c>
      <c r="K125" s="37">
        <f t="shared" si="60"/>
        <v>0</v>
      </c>
      <c r="L125" s="37">
        <f t="shared" si="60"/>
        <v>0</v>
      </c>
      <c r="M125" s="37">
        <f t="shared" si="60"/>
        <v>0</v>
      </c>
      <c r="N125" s="37">
        <f t="shared" si="60"/>
        <v>0</v>
      </c>
      <c r="O125" s="37">
        <f t="shared" si="60"/>
        <v>0</v>
      </c>
      <c r="P125" s="37">
        <f t="shared" si="60"/>
        <v>0</v>
      </c>
      <c r="Q125" s="37">
        <f t="shared" si="60"/>
        <v>0</v>
      </c>
      <c r="R125" s="37">
        <f t="shared" si="60"/>
        <v>0</v>
      </c>
      <c r="S125" s="37">
        <f t="shared" si="60"/>
        <v>0</v>
      </c>
      <c r="T125" s="37">
        <f t="shared" si="60"/>
        <v>0</v>
      </c>
      <c r="U125" s="37">
        <f t="shared" si="60"/>
        <v>0</v>
      </c>
      <c r="V125" s="148"/>
      <c r="W125" s="135"/>
      <c r="X125" s="29"/>
      <c r="Y125" s="29"/>
      <c r="Z125" s="29"/>
      <c r="AA125" s="22"/>
      <c r="AB125" s="22"/>
      <c r="AC125" s="22"/>
      <c r="AD125" s="22"/>
      <c r="AE125" s="22"/>
      <c r="AF125" s="22"/>
      <c r="AG125" s="22"/>
    </row>
    <row r="126" spans="1:33" x14ac:dyDescent="0.2">
      <c r="A126" s="170" t="s">
        <v>104</v>
      </c>
      <c r="B126" s="31"/>
      <c r="C126" s="31"/>
      <c r="D126" s="39">
        <v>8</v>
      </c>
      <c r="E126" s="45" t="s">
        <v>46</v>
      </c>
      <c r="F126" s="61" t="s">
        <v>24</v>
      </c>
      <c r="G126" s="183"/>
      <c r="H126" s="37">
        <f t="shared" si="60"/>
        <v>0</v>
      </c>
      <c r="I126" s="37">
        <f t="shared" si="60"/>
        <v>0</v>
      </c>
      <c r="J126" s="37">
        <f t="shared" si="60"/>
        <v>0</v>
      </c>
      <c r="K126" s="37">
        <f t="shared" si="60"/>
        <v>0</v>
      </c>
      <c r="L126" s="37">
        <f t="shared" si="60"/>
        <v>0</v>
      </c>
      <c r="M126" s="37">
        <f t="shared" si="60"/>
        <v>0</v>
      </c>
      <c r="N126" s="37">
        <f t="shared" si="60"/>
        <v>0</v>
      </c>
      <c r="O126" s="37">
        <f t="shared" si="60"/>
        <v>0</v>
      </c>
      <c r="P126" s="37">
        <f t="shared" si="60"/>
        <v>0</v>
      </c>
      <c r="Q126" s="37">
        <f t="shared" si="60"/>
        <v>0</v>
      </c>
      <c r="R126" s="37">
        <f t="shared" si="60"/>
        <v>0</v>
      </c>
      <c r="S126" s="37">
        <f t="shared" si="60"/>
        <v>0</v>
      </c>
      <c r="T126" s="37">
        <f t="shared" si="60"/>
        <v>0</v>
      </c>
      <c r="U126" s="37">
        <f t="shared" si="60"/>
        <v>0</v>
      </c>
      <c r="V126" s="148"/>
      <c r="W126" s="135"/>
      <c r="X126" s="29"/>
      <c r="Y126" s="102"/>
      <c r="Z126" s="29"/>
      <c r="AA126" s="101"/>
      <c r="AB126" s="22"/>
      <c r="AC126" s="22"/>
      <c r="AD126" s="22"/>
      <c r="AE126" s="22"/>
      <c r="AF126" s="22"/>
      <c r="AG126" s="22"/>
    </row>
    <row r="127" spans="1:33" x14ac:dyDescent="0.2">
      <c r="A127" s="170" t="s">
        <v>104</v>
      </c>
      <c r="B127" s="31"/>
      <c r="C127" s="31"/>
      <c r="D127" s="39">
        <v>9</v>
      </c>
      <c r="E127" s="45" t="s">
        <v>47</v>
      </c>
      <c r="F127" s="61" t="s">
        <v>24</v>
      </c>
      <c r="G127" s="183"/>
      <c r="H127" s="37">
        <f t="shared" si="60"/>
        <v>0</v>
      </c>
      <c r="I127" s="37">
        <f t="shared" si="60"/>
        <v>0</v>
      </c>
      <c r="J127" s="37">
        <f t="shared" si="60"/>
        <v>0</v>
      </c>
      <c r="K127" s="37">
        <f t="shared" si="60"/>
        <v>0</v>
      </c>
      <c r="L127" s="37">
        <f t="shared" si="60"/>
        <v>0</v>
      </c>
      <c r="M127" s="37">
        <f t="shared" si="60"/>
        <v>0</v>
      </c>
      <c r="N127" s="37">
        <f t="shared" si="60"/>
        <v>0</v>
      </c>
      <c r="O127" s="37">
        <f t="shared" si="60"/>
        <v>0</v>
      </c>
      <c r="P127" s="37">
        <f t="shared" si="60"/>
        <v>0</v>
      </c>
      <c r="Q127" s="37">
        <f t="shared" si="60"/>
        <v>0</v>
      </c>
      <c r="R127" s="37">
        <f t="shared" si="60"/>
        <v>0</v>
      </c>
      <c r="S127" s="37">
        <f t="shared" si="60"/>
        <v>0</v>
      </c>
      <c r="T127" s="37">
        <f t="shared" si="60"/>
        <v>0</v>
      </c>
      <c r="U127" s="37">
        <f t="shared" si="60"/>
        <v>0</v>
      </c>
      <c r="V127" s="148"/>
      <c r="W127" s="135"/>
      <c r="X127" s="29"/>
      <c r="Y127" s="29"/>
      <c r="Z127" s="29"/>
      <c r="AA127" s="22"/>
      <c r="AB127" s="22"/>
      <c r="AC127" s="22"/>
      <c r="AD127" s="22"/>
      <c r="AE127" s="22"/>
      <c r="AF127" s="22"/>
      <c r="AG127" s="22"/>
    </row>
    <row r="128" spans="1:33" x14ac:dyDescent="0.2">
      <c r="A128" s="170" t="s">
        <v>104</v>
      </c>
      <c r="B128" s="31"/>
      <c r="C128" s="31"/>
      <c r="D128" s="39">
        <v>10</v>
      </c>
      <c r="E128" s="45" t="s">
        <v>48</v>
      </c>
      <c r="F128" s="61" t="s">
        <v>24</v>
      </c>
      <c r="G128" s="183"/>
      <c r="H128" s="37">
        <f t="shared" si="60"/>
        <v>0</v>
      </c>
      <c r="I128" s="37">
        <f t="shared" si="60"/>
        <v>0</v>
      </c>
      <c r="J128" s="37">
        <f t="shared" si="60"/>
        <v>0</v>
      </c>
      <c r="K128" s="37">
        <f t="shared" si="60"/>
        <v>0</v>
      </c>
      <c r="L128" s="37">
        <f t="shared" si="60"/>
        <v>0</v>
      </c>
      <c r="M128" s="37">
        <f t="shared" si="60"/>
        <v>0</v>
      </c>
      <c r="N128" s="37">
        <f t="shared" si="60"/>
        <v>0</v>
      </c>
      <c r="O128" s="37">
        <f t="shared" si="60"/>
        <v>0</v>
      </c>
      <c r="P128" s="37">
        <f t="shared" si="60"/>
        <v>0</v>
      </c>
      <c r="Q128" s="37">
        <f t="shared" si="60"/>
        <v>0</v>
      </c>
      <c r="R128" s="37">
        <f t="shared" si="60"/>
        <v>0</v>
      </c>
      <c r="S128" s="37">
        <f t="shared" si="60"/>
        <v>0</v>
      </c>
      <c r="T128" s="37">
        <f t="shared" si="60"/>
        <v>0</v>
      </c>
      <c r="U128" s="37">
        <f t="shared" si="60"/>
        <v>0</v>
      </c>
      <c r="V128" s="148"/>
      <c r="W128" s="135"/>
      <c r="X128" s="29"/>
      <c r="Y128" s="100"/>
      <c r="Z128" s="29"/>
      <c r="AA128" s="101"/>
      <c r="AB128" s="22"/>
      <c r="AC128" s="22"/>
      <c r="AD128" s="22"/>
      <c r="AE128" s="22"/>
      <c r="AF128" s="22"/>
      <c r="AG128" s="22"/>
    </row>
    <row r="129" spans="1:33" x14ac:dyDescent="0.2">
      <c r="A129" s="170" t="s">
        <v>104</v>
      </c>
      <c r="B129" s="31"/>
      <c r="C129" s="31"/>
      <c r="D129" s="39">
        <v>11</v>
      </c>
      <c r="E129" s="45" t="s">
        <v>49</v>
      </c>
      <c r="F129" s="61" t="s">
        <v>24</v>
      </c>
      <c r="G129" s="183"/>
      <c r="H129" s="37">
        <f t="shared" si="60"/>
        <v>0</v>
      </c>
      <c r="I129" s="37">
        <f t="shared" si="60"/>
        <v>0</v>
      </c>
      <c r="J129" s="37">
        <f t="shared" si="60"/>
        <v>0</v>
      </c>
      <c r="K129" s="37">
        <f t="shared" si="60"/>
        <v>0</v>
      </c>
      <c r="L129" s="37">
        <f t="shared" si="60"/>
        <v>0</v>
      </c>
      <c r="M129" s="37">
        <f t="shared" si="60"/>
        <v>0</v>
      </c>
      <c r="N129" s="37">
        <f t="shared" si="60"/>
        <v>0</v>
      </c>
      <c r="O129" s="37">
        <f t="shared" si="60"/>
        <v>0</v>
      </c>
      <c r="P129" s="37">
        <f t="shared" si="60"/>
        <v>0</v>
      </c>
      <c r="Q129" s="37">
        <f t="shared" si="60"/>
        <v>0</v>
      </c>
      <c r="R129" s="37">
        <f t="shared" si="60"/>
        <v>0</v>
      </c>
      <c r="S129" s="37">
        <f t="shared" si="60"/>
        <v>0</v>
      </c>
      <c r="T129" s="37">
        <f t="shared" si="60"/>
        <v>0</v>
      </c>
      <c r="U129" s="37">
        <f t="shared" si="60"/>
        <v>0</v>
      </c>
      <c r="V129" s="148"/>
      <c r="W129" s="135"/>
      <c r="X129" s="29"/>
      <c r="Y129" s="100"/>
      <c r="Z129" s="29"/>
      <c r="AA129" s="101"/>
      <c r="AB129" s="101"/>
      <c r="AC129" s="22"/>
      <c r="AD129" s="22"/>
      <c r="AE129" s="22"/>
      <c r="AF129" s="22"/>
      <c r="AG129" s="22"/>
    </row>
    <row r="130" spans="1:33" x14ac:dyDescent="0.2">
      <c r="A130" s="170" t="s">
        <v>104</v>
      </c>
      <c r="B130" s="31"/>
      <c r="C130" s="31"/>
      <c r="D130" s="39">
        <v>12</v>
      </c>
      <c r="E130" s="45" t="s">
        <v>50</v>
      </c>
      <c r="F130" s="61" t="s">
        <v>24</v>
      </c>
      <c r="G130" s="183"/>
      <c r="H130" s="37">
        <f t="shared" si="60"/>
        <v>0</v>
      </c>
      <c r="I130" s="37">
        <f t="shared" si="60"/>
        <v>0</v>
      </c>
      <c r="J130" s="37">
        <f t="shared" si="60"/>
        <v>0</v>
      </c>
      <c r="K130" s="37">
        <f t="shared" si="60"/>
        <v>0</v>
      </c>
      <c r="L130" s="37">
        <f t="shared" si="60"/>
        <v>0</v>
      </c>
      <c r="M130" s="37">
        <f t="shared" si="60"/>
        <v>0</v>
      </c>
      <c r="N130" s="37">
        <f t="shared" si="60"/>
        <v>0</v>
      </c>
      <c r="O130" s="37">
        <f t="shared" si="60"/>
        <v>0</v>
      </c>
      <c r="P130" s="37">
        <f t="shared" si="60"/>
        <v>0</v>
      </c>
      <c r="Q130" s="37">
        <f t="shared" si="60"/>
        <v>0</v>
      </c>
      <c r="R130" s="37">
        <f t="shared" si="60"/>
        <v>0</v>
      </c>
      <c r="S130" s="37">
        <f t="shared" si="60"/>
        <v>0</v>
      </c>
      <c r="T130" s="37">
        <f t="shared" si="60"/>
        <v>0</v>
      </c>
      <c r="U130" s="37">
        <f t="shared" si="60"/>
        <v>0</v>
      </c>
      <c r="V130" s="148"/>
      <c r="W130" s="135"/>
      <c r="X130" s="29"/>
      <c r="Y130" s="29"/>
      <c r="Z130" s="29"/>
      <c r="AA130" s="22"/>
      <c r="AB130" s="22"/>
      <c r="AC130" s="22"/>
      <c r="AD130" s="22"/>
      <c r="AE130" s="22"/>
      <c r="AF130" s="22"/>
      <c r="AG130" s="22"/>
    </row>
    <row r="131" spans="1:33" x14ac:dyDescent="0.2">
      <c r="A131" s="170" t="s">
        <v>104</v>
      </c>
      <c r="B131" s="31"/>
      <c r="C131" s="62" t="s">
        <v>94</v>
      </c>
      <c r="D131" s="62" t="s">
        <v>226</v>
      </c>
      <c r="E131" s="36"/>
      <c r="F131" s="38" t="s">
        <v>19</v>
      </c>
      <c r="G131" s="187"/>
      <c r="H131" s="17">
        <f>IF(H1&gt;0,+SUM(INDEX($H$119:$U$130,H1,1):INDEX($H$119:$U$130,H1,H2)),0)</f>
        <v>0</v>
      </c>
      <c r="I131" s="17">
        <f>IF(I1=H1,I118,IF(I1&gt;0,+SUM(INDEX($H$119:$U$130,I1,1):INDEX($H$119:$U$130,I1,I2)),0))</f>
        <v>0</v>
      </c>
      <c r="J131" s="17">
        <f>IF(J1=I1,J118,IF(J1&gt;0,+SUM(INDEX($H$119:$U$130,J1,1):INDEX($H$119:$U$130,J1,J2)),0))</f>
        <v>0</v>
      </c>
      <c r="K131" s="17">
        <f>IF(K1=J1,K118,IF(K1&gt;0,+SUM(INDEX($H$119:$U$130,K1,1):INDEX($H$119:$U$130,K1,K2)),0))</f>
        <v>0</v>
      </c>
      <c r="L131" s="17">
        <f>IF(L1=K1,L118,IF(L1&gt;0,+SUM(INDEX($H$119:$U$130,L1,1):INDEX($H$119:$U$130,L1,L2)),0))</f>
        <v>0</v>
      </c>
      <c r="M131" s="17">
        <f>IF(M1=L1,M118,IF(M1&gt;0,+SUM(INDEX($H$119:$U$130,M1,1):INDEX($H$119:$U$130,M1,M2)),0))</f>
        <v>0</v>
      </c>
      <c r="N131" s="17">
        <f>IF(N1=M1,N118,IF(N1&gt;0,+SUM(INDEX($H$119:$U$130,N1,1):INDEX($H$119:$U$130,N1,N2)),0))</f>
        <v>0</v>
      </c>
      <c r="O131" s="17">
        <f>IF(O1=N1,O118,IF(O1&gt;0,+SUM(INDEX($H$119:$U$130,O1,1):INDEX($H$119:$U$130,O1,O2)),0))</f>
        <v>0</v>
      </c>
      <c r="P131" s="17">
        <f>IF(P1=O1,P118,IF(P1&gt;0,+SUM(INDEX($H$119:$U$130,P1,1):INDEX($H$119:$U$130,P1,P2)),0))</f>
        <v>0</v>
      </c>
      <c r="Q131" s="17">
        <f>IF(Q1=P1,Q118,IF(Q1&gt;0,+SUM(INDEX($H$119:$U$130,Q1,1):INDEX($H$119:$U$130,Q1,Q2)),0))</f>
        <v>0</v>
      </c>
      <c r="R131" s="17">
        <f>IF(R1=Q1,R118,IF(R1&gt;0,+SUM(INDEX($H$119:$U$130,R1,1):INDEX($H$119:$U$130,R1,R2)),0))</f>
        <v>0</v>
      </c>
      <c r="S131" s="17">
        <f>IF(S1=R1,S118,IF(S1&gt;0,+SUM(INDEX($H$119:$U$130,S1,1):INDEX($H$119:$U$130,S1,S2)),0))</f>
        <v>0</v>
      </c>
      <c r="T131" s="17">
        <f>IF(T1=S1,T118,IF(T1&gt;0,+SUM(INDEX($H$119:$U$130,T1,1):INDEX($H$119:$U$130,T1,T2)),0))</f>
        <v>0</v>
      </c>
      <c r="U131" s="17">
        <f>IF(U1=T1,U118,IF(U1&gt;0,+SUM(INDEX($H$119:$U$130,U1,1):INDEX($H$119:$U$130,U1,U2)),0))</f>
        <v>0</v>
      </c>
      <c r="V131" s="291"/>
      <c r="W131" s="135"/>
      <c r="X131" s="29"/>
      <c r="Y131" s="164"/>
      <c r="Z131" s="29"/>
      <c r="AA131" s="22"/>
      <c r="AB131" s="22"/>
      <c r="AC131" s="22"/>
      <c r="AD131" s="22"/>
      <c r="AE131" s="22"/>
      <c r="AF131" s="22"/>
      <c r="AG131" s="22"/>
    </row>
    <row r="132" spans="1:33" x14ac:dyDescent="0.2">
      <c r="A132" s="170" t="s">
        <v>104</v>
      </c>
      <c r="B132" s="31"/>
      <c r="C132" s="62"/>
      <c r="D132" s="76" t="s">
        <v>212</v>
      </c>
      <c r="E132" s="36"/>
      <c r="F132" s="38" t="s">
        <v>19</v>
      </c>
      <c r="G132" s="187"/>
      <c r="H132" s="17">
        <f t="shared" ref="H132:U132" si="61">+SUMIF($C$104:$C$131,"A",H$104:H$131)</f>
        <v>0</v>
      </c>
      <c r="I132" s="17">
        <f t="shared" si="61"/>
        <v>0</v>
      </c>
      <c r="J132" s="17">
        <f t="shared" si="61"/>
        <v>0</v>
      </c>
      <c r="K132" s="17">
        <f t="shared" si="61"/>
        <v>0</v>
      </c>
      <c r="L132" s="17">
        <f t="shared" si="61"/>
        <v>0</v>
      </c>
      <c r="M132" s="17">
        <f t="shared" si="61"/>
        <v>0</v>
      </c>
      <c r="N132" s="17">
        <f t="shared" si="61"/>
        <v>0</v>
      </c>
      <c r="O132" s="17">
        <f t="shared" si="61"/>
        <v>0</v>
      </c>
      <c r="P132" s="17">
        <f t="shared" si="61"/>
        <v>0</v>
      </c>
      <c r="Q132" s="17">
        <f t="shared" si="61"/>
        <v>0</v>
      </c>
      <c r="R132" s="17">
        <f t="shared" si="61"/>
        <v>0</v>
      </c>
      <c r="S132" s="17">
        <f t="shared" si="61"/>
        <v>0</v>
      </c>
      <c r="T132" s="17">
        <f t="shared" si="61"/>
        <v>0</v>
      </c>
      <c r="U132" s="17">
        <f t="shared" si="61"/>
        <v>0</v>
      </c>
      <c r="V132" s="148"/>
      <c r="W132" s="135"/>
      <c r="X132" s="100"/>
      <c r="Y132" s="164"/>
      <c r="Z132" s="29"/>
      <c r="AA132" s="22"/>
      <c r="AB132" s="22"/>
      <c r="AC132" s="22"/>
      <c r="AD132" s="22"/>
      <c r="AE132" s="22"/>
      <c r="AF132" s="22"/>
      <c r="AG132" s="22"/>
    </row>
    <row r="133" spans="1:33" x14ac:dyDescent="0.2">
      <c r="A133" s="170" t="s">
        <v>104</v>
      </c>
      <c r="B133" s="31"/>
      <c r="C133" s="62" t="s">
        <v>94</v>
      </c>
      <c r="D133" s="76" t="s">
        <v>241</v>
      </c>
      <c r="E133" s="45"/>
      <c r="F133" s="38" t="s">
        <v>19</v>
      </c>
      <c r="G133" s="187"/>
      <c r="H133" s="18">
        <f>+IF(H1&lt;=6,IF(H10&lt;Tablas!$AG$22,0,ROUND(H132/12,2)),0)</f>
        <v>0</v>
      </c>
      <c r="I133" s="18">
        <f>+IF(I1&lt;=6,IF(I10&lt;Tablas!$AG$22,0,ROUND(I132/12,2)),0)</f>
        <v>0</v>
      </c>
      <c r="J133" s="18">
        <f>+IF(J1&lt;=6,IF(J10&lt;Tablas!$AG$22,0,ROUND(J132/12,2)),0)</f>
        <v>0</v>
      </c>
      <c r="K133" s="18">
        <f>+IF(K1&lt;=6,IF(K10&lt;Tablas!$AG$22,0,ROUND(K132/12,2)),0)</f>
        <v>0</v>
      </c>
      <c r="L133" s="18">
        <f>+IF(L1&lt;=6,IF(L10&lt;Tablas!$AG$22,0,ROUND(L132/12,2)),0)</f>
        <v>0</v>
      </c>
      <c r="M133" s="18">
        <f>+IF(M1&lt;=6,IF(M10&lt;Tablas!$AG$22,0,ROUND(M132/12,2)),0)</f>
        <v>0</v>
      </c>
      <c r="N133" s="18">
        <f>+IF(N1&lt;=6,IF(N10&lt;Tablas!$AG$22,0,ROUND(N132/12,2)),0)</f>
        <v>0</v>
      </c>
      <c r="O133" s="18">
        <f>+IF(O1&lt;=6,IF(O10&lt;Tablas!$AG$22,0,ROUND(O132/12,2)),0)</f>
        <v>0</v>
      </c>
      <c r="P133" s="18">
        <f>+IF(P1&lt;=6,IF(P10&lt;Tablas!$AG$22,0,ROUND(P132/12,2)),0)</f>
        <v>0</v>
      </c>
      <c r="Q133" s="18">
        <f>+IF(Q1&lt;=6,IF(Q10&lt;Tablas!$AG$22,0,ROUND(Q132/12,2)),0)</f>
        <v>0</v>
      </c>
      <c r="R133" s="18">
        <f>+IF(R1&lt;=6,IF(R10&lt;Tablas!$AG$22,0,ROUND(R132/12,2)),0)</f>
        <v>0</v>
      </c>
      <c r="S133" s="18">
        <f>+IF(S1&lt;=6,IF(S10&lt;Tablas!$AG$22,0,ROUND(S132/12,2)),0)</f>
        <v>0</v>
      </c>
      <c r="T133" s="18">
        <f>+IF(T1&lt;=6,IF(T10&lt;Tablas!$AG$22,0,ROUND(T132/12,2)),0)</f>
        <v>0</v>
      </c>
      <c r="U133" s="18">
        <f>+IF(U1&lt;=6,IF(U10&lt;Tablas!$AG$22,0,ROUND(U132/12,2)),0)</f>
        <v>0</v>
      </c>
      <c r="V133" s="148"/>
      <c r="W133" s="135"/>
      <c r="X133" s="100"/>
      <c r="Y133" s="100"/>
      <c r="Z133" s="29"/>
      <c r="AA133" s="101"/>
      <c r="AB133" s="22"/>
      <c r="AC133" s="22"/>
      <c r="AD133" s="22"/>
      <c r="AE133" s="22"/>
      <c r="AF133" s="22"/>
      <c r="AG133" s="22"/>
    </row>
    <row r="134" spans="1:33" x14ac:dyDescent="0.2">
      <c r="A134" s="170" t="s">
        <v>104</v>
      </c>
      <c r="B134" s="31"/>
      <c r="C134" s="62" t="s">
        <v>94</v>
      </c>
      <c r="D134" s="76" t="s">
        <v>242</v>
      </c>
      <c r="E134" s="45"/>
      <c r="F134" s="38" t="s">
        <v>19</v>
      </c>
      <c r="G134" s="187"/>
      <c r="H134" s="18">
        <f>+IF(H1&gt;6,IF(H10&lt;Tablas!$AG$22,0,ROUND(H132/12,2)),0)</f>
        <v>0</v>
      </c>
      <c r="I134" s="18">
        <f>+IF(I1&gt;6,IF(I10&lt;Tablas!$AG$22,0,ROUND(I132/12,2)),0)</f>
        <v>0</v>
      </c>
      <c r="J134" s="18">
        <f>+IF(J1&gt;6,IF(J10&lt;Tablas!$AG$22,0,ROUND(J132/12,2)),0)</f>
        <v>0</v>
      </c>
      <c r="K134" s="18">
        <f>+IF(K1&gt;6,IF(K10&lt;Tablas!$AG$22,0,ROUND(K132/12,2)),0)</f>
        <v>0</v>
      </c>
      <c r="L134" s="18">
        <f>+IF(L1&gt;6,IF(L10&lt;Tablas!$AG$22,0,ROUND(L132/12,2)),0)</f>
        <v>0</v>
      </c>
      <c r="M134" s="18">
        <f>+IF(M1&gt;6,IF(M10&lt;Tablas!$AG$22,0,ROUND(M132/12,2)),0)</f>
        <v>0</v>
      </c>
      <c r="N134" s="18">
        <f>+IF(N1&gt;6,IF(N10&lt;Tablas!$AG$22,0,ROUND(N132/12,2)),0)</f>
        <v>0</v>
      </c>
      <c r="O134" s="18">
        <f>+IF(O1&gt;6,IF(O10&lt;Tablas!$AG$22,0,ROUND(O132/12,2)),0)</f>
        <v>0</v>
      </c>
      <c r="P134" s="18">
        <f>+IF(P1&gt;6,IF(P10&lt;Tablas!$AG$22,0,ROUND(P132/12,2)),0)</f>
        <v>0</v>
      </c>
      <c r="Q134" s="18">
        <f>+IF(Q1&gt;6,IF(Q10&lt;Tablas!$AG$22,0,ROUND(Q132/12,2)),0)</f>
        <v>0</v>
      </c>
      <c r="R134" s="18">
        <f>+IF(R1&gt;6,IF(R10&lt;Tablas!$AG$22,0,ROUND(R132/12,2)),0)</f>
        <v>0</v>
      </c>
      <c r="S134" s="18">
        <f>+IF(S1&gt;6,IF(S10&lt;Tablas!$AG$22,0,ROUND(S132/12,2)),0)</f>
        <v>0</v>
      </c>
      <c r="T134" s="18">
        <f>+IF(T1&gt;6,IF(T10&lt;Tablas!$AG$22,0,ROUND(T132/12,2)),0)</f>
        <v>0</v>
      </c>
      <c r="U134" s="18">
        <f>+IF(U1&gt;6,IF(U10&lt;Tablas!$AG$22,0,ROUND(U132/12,2)),0)</f>
        <v>0</v>
      </c>
      <c r="V134" s="148"/>
      <c r="W134" s="135"/>
      <c r="X134" s="100"/>
      <c r="Y134" s="100"/>
      <c r="Z134" s="29"/>
      <c r="AA134" s="101"/>
      <c r="AB134" s="22"/>
      <c r="AC134" s="22"/>
      <c r="AD134" s="22"/>
      <c r="AE134" s="22"/>
      <c r="AF134" s="22"/>
      <c r="AG134" s="22"/>
    </row>
    <row r="135" spans="1:33" x14ac:dyDescent="0.2">
      <c r="A135" s="170" t="s">
        <v>104</v>
      </c>
      <c r="B135" s="31"/>
      <c r="C135" s="62"/>
      <c r="D135" s="76" t="s">
        <v>227</v>
      </c>
      <c r="E135" s="45"/>
      <c r="F135" s="38" t="s">
        <v>19</v>
      </c>
      <c r="G135" s="187"/>
      <c r="H135" s="18">
        <f>+SUM(H132:H134)</f>
        <v>0</v>
      </c>
      <c r="I135" s="18">
        <f t="shared" ref="I135:U135" si="62">+SUM(I132:I134)</f>
        <v>0</v>
      </c>
      <c r="J135" s="18">
        <f t="shared" si="62"/>
        <v>0</v>
      </c>
      <c r="K135" s="18">
        <f t="shared" si="62"/>
        <v>0</v>
      </c>
      <c r="L135" s="18">
        <f t="shared" si="62"/>
        <v>0</v>
      </c>
      <c r="M135" s="18">
        <f t="shared" si="62"/>
        <v>0</v>
      </c>
      <c r="N135" s="18">
        <f t="shared" si="62"/>
        <v>0</v>
      </c>
      <c r="O135" s="18">
        <f t="shared" si="62"/>
        <v>0</v>
      </c>
      <c r="P135" s="18">
        <f t="shared" si="62"/>
        <v>0</v>
      </c>
      <c r="Q135" s="18">
        <f t="shared" si="62"/>
        <v>0</v>
      </c>
      <c r="R135" s="18">
        <f t="shared" si="62"/>
        <v>0</v>
      </c>
      <c r="S135" s="18">
        <f t="shared" si="62"/>
        <v>0</v>
      </c>
      <c r="T135" s="18">
        <f t="shared" si="62"/>
        <v>0</v>
      </c>
      <c r="U135" s="18">
        <f t="shared" si="62"/>
        <v>0</v>
      </c>
      <c r="V135" s="148"/>
      <c r="W135" s="135"/>
      <c r="X135" s="100"/>
      <c r="Y135" s="100"/>
      <c r="Z135" s="29"/>
      <c r="AA135" s="101"/>
      <c r="AB135" s="22"/>
      <c r="AC135" s="22"/>
      <c r="AD135" s="22"/>
      <c r="AE135" s="22"/>
      <c r="AF135" s="22"/>
      <c r="AG135" s="22"/>
    </row>
    <row r="136" spans="1:33" x14ac:dyDescent="0.2">
      <c r="A136" s="170" t="s">
        <v>105</v>
      </c>
      <c r="B136" s="31"/>
      <c r="C136" s="62"/>
      <c r="D136" s="76" t="s">
        <v>222</v>
      </c>
      <c r="E136" s="45"/>
      <c r="F136" s="38" t="s">
        <v>19</v>
      </c>
      <c r="G136" s="187"/>
      <c r="H136" s="18">
        <f t="shared" ref="H136:U136" si="63">+SUMIF($D$104:$D$116,"H",H104:H116)</f>
        <v>0</v>
      </c>
      <c r="I136" s="18">
        <f t="shared" si="63"/>
        <v>0</v>
      </c>
      <c r="J136" s="18">
        <f t="shared" si="63"/>
        <v>0</v>
      </c>
      <c r="K136" s="18">
        <f t="shared" si="63"/>
        <v>0</v>
      </c>
      <c r="L136" s="18">
        <f t="shared" si="63"/>
        <v>0</v>
      </c>
      <c r="M136" s="18">
        <f t="shared" si="63"/>
        <v>0</v>
      </c>
      <c r="N136" s="18">
        <f t="shared" si="63"/>
        <v>0</v>
      </c>
      <c r="O136" s="18">
        <f t="shared" si="63"/>
        <v>0</v>
      </c>
      <c r="P136" s="18">
        <f t="shared" si="63"/>
        <v>0</v>
      </c>
      <c r="Q136" s="18">
        <f t="shared" si="63"/>
        <v>0</v>
      </c>
      <c r="R136" s="18">
        <f t="shared" si="63"/>
        <v>0</v>
      </c>
      <c r="S136" s="18">
        <f t="shared" si="63"/>
        <v>0</v>
      </c>
      <c r="T136" s="18">
        <f t="shared" si="63"/>
        <v>0</v>
      </c>
      <c r="U136" s="18">
        <f t="shared" si="63"/>
        <v>0</v>
      </c>
      <c r="V136" s="145"/>
      <c r="W136" s="135"/>
      <c r="X136" s="100"/>
      <c r="Y136" s="29"/>
      <c r="Z136" s="29"/>
      <c r="AA136" s="101"/>
      <c r="AB136" s="22"/>
      <c r="AC136" s="22"/>
      <c r="AD136" s="22"/>
      <c r="AE136" s="22"/>
      <c r="AF136" s="22"/>
      <c r="AG136" s="22"/>
    </row>
    <row r="137" spans="1:33" x14ac:dyDescent="0.2">
      <c r="A137" s="170" t="s">
        <v>105</v>
      </c>
      <c r="B137" s="31"/>
      <c r="C137" s="62"/>
      <c r="D137" s="76" t="s">
        <v>232</v>
      </c>
      <c r="E137" s="45"/>
      <c r="F137" s="38" t="s">
        <v>19</v>
      </c>
      <c r="G137" s="187"/>
      <c r="H137" s="18">
        <f>+IF(H1&gt;0,SUM($H$135:H$135),0)</f>
        <v>0</v>
      </c>
      <c r="I137" s="18">
        <f>+IF(I1&gt;0,SUM($H$135:I$135),0)</f>
        <v>0</v>
      </c>
      <c r="J137" s="18">
        <f>+IF(J1&gt;0,SUM($H$135:J$135),0)</f>
        <v>0</v>
      </c>
      <c r="K137" s="18">
        <f>+IF(K1&gt;0,SUM($H$135:K$135),0)</f>
        <v>0</v>
      </c>
      <c r="L137" s="18">
        <f>+IF(L1&gt;0,SUM($H$135:L$135),0)</f>
        <v>0</v>
      </c>
      <c r="M137" s="18">
        <f>+IF(M1&gt;0,SUM($H$135:M$135),0)</f>
        <v>0</v>
      </c>
      <c r="N137" s="18">
        <f>+IF(N1&gt;0,SUM($H$135:N$135),0)</f>
        <v>0</v>
      </c>
      <c r="O137" s="18">
        <f>+IF(O1&gt;0,SUM($H$135:O$135),0)</f>
        <v>0</v>
      </c>
      <c r="P137" s="18">
        <f>+IF(P1&gt;0,SUM($H$135:P$135),0)</f>
        <v>0</v>
      </c>
      <c r="Q137" s="18">
        <f>+IF(Q1&gt;0,SUM($H$135:Q$135),0)</f>
        <v>0</v>
      </c>
      <c r="R137" s="18">
        <f>+IF(R1&gt;0,SUM($H$135:R$135),0)</f>
        <v>0</v>
      </c>
      <c r="S137" s="18">
        <f>+IF(S1&gt;0,SUM($H$135:S$135),0)</f>
        <v>0</v>
      </c>
      <c r="T137" s="18">
        <f>+IF(T1&gt;0,SUM($H$135:T$135),0)</f>
        <v>0</v>
      </c>
      <c r="U137" s="18">
        <f>+IF(U1&gt;0,SUM($H$135:U$135),0)</f>
        <v>0</v>
      </c>
      <c r="V137" s="138">
        <f>+V70</f>
        <v>0</v>
      </c>
      <c r="W137" s="135"/>
      <c r="X137" s="100"/>
      <c r="Y137" s="29"/>
      <c r="Z137" s="29"/>
      <c r="AA137" s="101"/>
      <c r="AB137" s="22"/>
      <c r="AC137" s="22"/>
      <c r="AD137" s="22"/>
      <c r="AE137" s="22"/>
      <c r="AF137" s="22"/>
      <c r="AG137" s="22"/>
    </row>
    <row r="138" spans="1:33" x14ac:dyDescent="0.2">
      <c r="A138" s="170" t="s">
        <v>105</v>
      </c>
      <c r="B138" s="31"/>
      <c r="C138" s="62"/>
      <c r="D138" s="76" t="s">
        <v>228</v>
      </c>
      <c r="E138" s="45"/>
      <c r="F138" s="38" t="s">
        <v>19</v>
      </c>
      <c r="G138" s="187"/>
      <c r="H138" s="18">
        <f>+IF(H1&gt;0,SUM($H$136:H$136),0)</f>
        <v>0</v>
      </c>
      <c r="I138" s="18">
        <f>+IF(I1&gt;0,SUM($H$136:I$136),0)</f>
        <v>0</v>
      </c>
      <c r="J138" s="18">
        <f>+IF(J1&gt;0,SUM($H$136:J$136),0)</f>
        <v>0</v>
      </c>
      <c r="K138" s="18">
        <f>+IF(K1&gt;0,SUM($H$136:K$136),0)</f>
        <v>0</v>
      </c>
      <c r="L138" s="18">
        <f>+IF(L1&gt;0,SUM($H$136:L$136),0)</f>
        <v>0</v>
      </c>
      <c r="M138" s="18">
        <f>+IF(M1&gt;0,SUM($H$136:M$136),0)</f>
        <v>0</v>
      </c>
      <c r="N138" s="18">
        <f>+IF(N1&gt;0,SUM($H$136:N$136),0)</f>
        <v>0</v>
      </c>
      <c r="O138" s="18">
        <f>+IF(O1&gt;0,SUM($H$136:O$136),0)</f>
        <v>0</v>
      </c>
      <c r="P138" s="18">
        <f>+IF(P1&gt;0,SUM($H$136:P$136),0)</f>
        <v>0</v>
      </c>
      <c r="Q138" s="18">
        <f>+IF(Q1&gt;0,SUM($H$136:Q$136),0)</f>
        <v>0</v>
      </c>
      <c r="R138" s="18">
        <f>+IF(R1&gt;0,SUM($H$136:R$136),0)</f>
        <v>0</v>
      </c>
      <c r="S138" s="18">
        <f>+IF(S1&gt;0,SUM($H$136:S$136),0)</f>
        <v>0</v>
      </c>
      <c r="T138" s="18">
        <f>+IF(T1&gt;0,SUM($H$136:T$136),0)</f>
        <v>0</v>
      </c>
      <c r="U138" s="18">
        <f>+IF(U1&gt;0,SUM($H$136:U$136),0)</f>
        <v>0</v>
      </c>
      <c r="V138" s="138">
        <f>+U138</f>
        <v>0</v>
      </c>
      <c r="W138" s="135"/>
      <c r="X138" s="100"/>
      <c r="Y138" s="29"/>
      <c r="Z138" s="29"/>
      <c r="AA138" s="101"/>
      <c r="AB138" s="22"/>
      <c r="AC138" s="22"/>
      <c r="AD138" s="22"/>
      <c r="AE138" s="22"/>
      <c r="AF138" s="22"/>
      <c r="AG138" s="22"/>
    </row>
    <row r="139" spans="1:33" x14ac:dyDescent="0.2">
      <c r="A139" s="169" t="s">
        <v>105</v>
      </c>
      <c r="B139" s="304" t="s">
        <v>214</v>
      </c>
      <c r="C139" s="304"/>
      <c r="D139" s="304"/>
      <c r="E139" s="304"/>
      <c r="F139" s="304"/>
      <c r="G139" s="186"/>
      <c r="H139" s="167">
        <f>+H137-SUM(H140:H145)-SUM(H149:H155)</f>
        <v>0</v>
      </c>
      <c r="I139" s="167">
        <f>+I137-SUM(I140:I145)-SUM(I149:I155)</f>
        <v>0</v>
      </c>
      <c r="J139" s="167">
        <f t="shared" ref="J139:V139" si="64">+J137-SUM(J140:J145)-SUM(J149:J155)</f>
        <v>0</v>
      </c>
      <c r="K139" s="167">
        <f t="shared" si="64"/>
        <v>0</v>
      </c>
      <c r="L139" s="167">
        <f t="shared" si="64"/>
        <v>0</v>
      </c>
      <c r="M139" s="167">
        <f t="shared" si="64"/>
        <v>0</v>
      </c>
      <c r="N139" s="167">
        <f t="shared" si="64"/>
        <v>0</v>
      </c>
      <c r="O139" s="167">
        <f t="shared" si="64"/>
        <v>0</v>
      </c>
      <c r="P139" s="167">
        <f t="shared" si="64"/>
        <v>0</v>
      </c>
      <c r="Q139" s="167">
        <f t="shared" si="64"/>
        <v>0</v>
      </c>
      <c r="R139" s="167">
        <f t="shared" si="64"/>
        <v>0</v>
      </c>
      <c r="S139" s="167">
        <f t="shared" si="64"/>
        <v>0</v>
      </c>
      <c r="T139" s="167">
        <f t="shared" si="64"/>
        <v>0</v>
      </c>
      <c r="U139" s="167">
        <f t="shared" si="64"/>
        <v>0</v>
      </c>
      <c r="V139" s="167">
        <f t="shared" si="64"/>
        <v>0</v>
      </c>
      <c r="W139" s="135"/>
      <c r="X139" s="29"/>
      <c r="Y139" s="29"/>
      <c r="Z139" s="29"/>
      <c r="AA139" s="22"/>
      <c r="AB139" s="22"/>
      <c r="AC139" s="22"/>
      <c r="AD139" s="22"/>
      <c r="AE139" s="22"/>
      <c r="AF139" s="22"/>
      <c r="AG139" s="22"/>
    </row>
    <row r="140" spans="1:33" x14ac:dyDescent="0.2">
      <c r="A140" s="169" t="s">
        <v>105</v>
      </c>
      <c r="B140" s="62" t="s">
        <v>27</v>
      </c>
      <c r="C140" s="62" t="s">
        <v>202</v>
      </c>
      <c r="D140" s="62" t="s">
        <v>258</v>
      </c>
      <c r="E140" s="67"/>
      <c r="F140" s="61" t="s">
        <v>24</v>
      </c>
      <c r="G140" s="175"/>
      <c r="H140" s="103"/>
      <c r="I140" s="104"/>
      <c r="J140" s="104"/>
      <c r="K140" s="104"/>
      <c r="L140" s="104"/>
      <c r="M140" s="104"/>
      <c r="N140" s="104"/>
      <c r="O140" s="104"/>
      <c r="P140" s="104"/>
      <c r="Q140" s="104"/>
      <c r="R140" s="104"/>
      <c r="S140" s="104"/>
      <c r="T140" s="104"/>
      <c r="U140" s="104"/>
      <c r="V140" s="138">
        <f>+IF(V72&gt;0,MIN(V72,Tablas!$Y$35),0)</f>
        <v>0</v>
      </c>
      <c r="W140" s="135"/>
      <c r="X140" s="102"/>
      <c r="Y140" s="29"/>
      <c r="Z140" s="29"/>
      <c r="AA140" s="101"/>
      <c r="AB140" s="22"/>
      <c r="AC140" s="22"/>
      <c r="AD140" s="22"/>
      <c r="AE140" s="22"/>
      <c r="AF140" s="22"/>
      <c r="AG140" s="22"/>
    </row>
    <row r="141" spans="1:33" x14ac:dyDescent="0.2">
      <c r="A141" s="169" t="s">
        <v>105</v>
      </c>
      <c r="B141" s="62" t="s">
        <v>27</v>
      </c>
      <c r="C141" s="62" t="s">
        <v>202</v>
      </c>
      <c r="D141" s="62" t="s">
        <v>397</v>
      </c>
      <c r="E141" s="67"/>
      <c r="F141" s="61"/>
      <c r="G141" s="175"/>
      <c r="H141" s="103"/>
      <c r="I141" s="104"/>
      <c r="J141" s="104"/>
      <c r="K141" s="104"/>
      <c r="L141" s="104"/>
      <c r="M141" s="104"/>
      <c r="N141" s="104"/>
      <c r="O141" s="104"/>
      <c r="P141" s="104"/>
      <c r="Q141" s="104"/>
      <c r="R141" s="104"/>
      <c r="S141" s="104"/>
      <c r="T141" s="104"/>
      <c r="U141" s="104"/>
      <c r="V141" s="138">
        <f>+IF(V73&gt;0,MIN(V73,Tablas!$Y$35),0)</f>
        <v>0</v>
      </c>
      <c r="W141" s="135"/>
      <c r="X141" s="102"/>
      <c r="Y141" s="29"/>
      <c r="Z141" s="29"/>
      <c r="AA141" s="101"/>
      <c r="AB141" s="22"/>
      <c r="AC141" s="22"/>
      <c r="AD141" s="22"/>
      <c r="AE141" s="22"/>
      <c r="AF141" s="22"/>
      <c r="AG141" s="22"/>
    </row>
    <row r="142" spans="1:33" x14ac:dyDescent="0.2">
      <c r="A142" s="170" t="s">
        <v>105</v>
      </c>
      <c r="B142" s="62" t="s">
        <v>27</v>
      </c>
      <c r="C142" s="62"/>
      <c r="D142" s="62" t="s">
        <v>260</v>
      </c>
      <c r="E142" s="67"/>
      <c r="F142" s="61"/>
      <c r="G142" s="175"/>
      <c r="H142" s="103"/>
      <c r="I142" s="104"/>
      <c r="J142" s="104"/>
      <c r="K142" s="104"/>
      <c r="L142" s="104"/>
      <c r="M142" s="104"/>
      <c r="N142" s="104"/>
      <c r="O142" s="104"/>
      <c r="P142" s="104"/>
      <c r="Q142" s="104"/>
      <c r="R142" s="104"/>
      <c r="S142" s="104"/>
      <c r="T142" s="104"/>
      <c r="U142" s="104"/>
      <c r="V142" s="138">
        <f>+IF(V74&gt;0,MIN(V74,Tablas!$Y$35),0)</f>
        <v>0</v>
      </c>
      <c r="W142" s="135"/>
      <c r="X142" s="102"/>
      <c r="Y142" s="29"/>
      <c r="Z142" s="29"/>
      <c r="AA142" s="101"/>
      <c r="AB142" s="22"/>
      <c r="AC142" s="22"/>
      <c r="AD142" s="22"/>
      <c r="AE142" s="22"/>
      <c r="AF142" s="22"/>
      <c r="AG142" s="22"/>
    </row>
    <row r="143" spans="1:33" x14ac:dyDescent="0.2">
      <c r="A143" s="169" t="s">
        <v>105</v>
      </c>
      <c r="B143" s="62" t="s">
        <v>27</v>
      </c>
      <c r="C143" s="62" t="s">
        <v>202</v>
      </c>
      <c r="D143" s="62" t="s">
        <v>149</v>
      </c>
      <c r="E143" s="68"/>
      <c r="F143" s="61" t="s">
        <v>24</v>
      </c>
      <c r="G143" s="175"/>
      <c r="H143" s="103"/>
      <c r="I143" s="104"/>
      <c r="J143" s="104"/>
      <c r="K143" s="104"/>
      <c r="L143" s="104"/>
      <c r="M143" s="104"/>
      <c r="N143" s="104"/>
      <c r="O143" s="104"/>
      <c r="P143" s="104"/>
      <c r="Q143" s="104"/>
      <c r="R143" s="104"/>
      <c r="S143" s="104"/>
      <c r="T143" s="104"/>
      <c r="U143" s="104"/>
      <c r="V143" s="138">
        <f>+IF(V74&gt;0,MIN(V74,Tablas!$Y$35),0)</f>
        <v>0</v>
      </c>
      <c r="W143" s="135"/>
      <c r="X143" s="29"/>
      <c r="Y143" s="101"/>
      <c r="Z143" s="100"/>
      <c r="AA143" s="101"/>
      <c r="AB143" s="22"/>
      <c r="AC143" s="22"/>
      <c r="AD143" s="22"/>
      <c r="AE143" s="22"/>
      <c r="AF143" s="22"/>
      <c r="AG143" s="22"/>
    </row>
    <row r="144" spans="1:33" x14ac:dyDescent="0.2">
      <c r="A144" s="169" t="s">
        <v>105</v>
      </c>
      <c r="B144" s="31"/>
      <c r="C144" s="31"/>
      <c r="D144" s="62" t="s">
        <v>150</v>
      </c>
      <c r="E144" s="67"/>
      <c r="F144" s="61" t="s">
        <v>24</v>
      </c>
      <c r="G144" s="183"/>
      <c r="H144" s="17">
        <f>+IF(H76&lt;&gt;"",MIN(H76,VLOOKUP(H1,Tablas!$X$22:$AA$35,3,FALSE)),0)</f>
        <v>0</v>
      </c>
      <c r="I144" s="17">
        <f>+IF(I76&lt;&gt;"",MIN(I76,VLOOKUP(I1,Tablas!$X$22:$AA$35,3,FALSE)),0)</f>
        <v>0</v>
      </c>
      <c r="J144" s="17">
        <f>+IF(J76&lt;&gt;"",MIN(J76,VLOOKUP(J1,Tablas!$X$22:$AA$35,3,FALSE)),0)</f>
        <v>0</v>
      </c>
      <c r="K144" s="17">
        <f>+IF(K76&lt;&gt;"",MIN(K76,VLOOKUP(K1,Tablas!$X$22:$AA$35,3,FALSE)),0)</f>
        <v>0</v>
      </c>
      <c r="L144" s="17">
        <f>+IF(L76&lt;&gt;"",MIN(L76,VLOOKUP(L1,Tablas!$X$22:$AA$35,3,FALSE)),0)</f>
        <v>0</v>
      </c>
      <c r="M144" s="17">
        <f>+IF(M76&lt;&gt;"",MIN(M76,VLOOKUP(M1,Tablas!$X$22:$AA$35,3,FALSE)),0)</f>
        <v>0</v>
      </c>
      <c r="N144" s="17">
        <f>+IF(N76&lt;&gt;"",MIN(N76,VLOOKUP(N1,Tablas!$X$22:$AA$35,3,FALSE)),0)</f>
        <v>0</v>
      </c>
      <c r="O144" s="17">
        <f>+IF(O76&lt;&gt;"",MIN(O76,VLOOKUP(O1,Tablas!$X$22:$AA$35,3,FALSE)),0)</f>
        <v>0</v>
      </c>
      <c r="P144" s="17">
        <f>+IF(P76&lt;&gt;"",MIN(P76,VLOOKUP(P1,Tablas!$X$22:$AA$35,3,FALSE)),0)</f>
        <v>0</v>
      </c>
      <c r="Q144" s="17">
        <f>+IF(Q76&lt;&gt;"",MIN(Q76,VLOOKUP(Q1,Tablas!$X$22:$AA$35,3,FALSE)),0)</f>
        <v>0</v>
      </c>
      <c r="R144" s="17">
        <f>+IF(R76&lt;&gt;"",MIN(R76,VLOOKUP(R1,Tablas!$X$22:$AA$35,3,FALSE)),0)</f>
        <v>0</v>
      </c>
      <c r="S144" s="17">
        <f>+IF(S76&lt;&gt;"",MIN(S76,VLOOKUP(S1,Tablas!$X$22:$AA$35,3,FALSE)),0)</f>
        <v>0</v>
      </c>
      <c r="T144" s="17">
        <f>+IF(T76&lt;&gt;"",MIN(T76,VLOOKUP(T1,Tablas!$X$22:$AA$35,3,FALSE)),0)</f>
        <v>0</v>
      </c>
      <c r="U144" s="17">
        <f>+IF(U76&lt;&gt;"",MIN(U76,VLOOKUP(U1,Tablas!$X$22:$AA$35,3,FALSE)),0)</f>
        <v>0</v>
      </c>
      <c r="V144" s="138">
        <f>+IF(V76&lt;&gt;"",MIN(V76,Tablas!$Z$35),0)</f>
        <v>0</v>
      </c>
      <c r="W144" s="135"/>
      <c r="X144" s="100"/>
      <c r="Y144" s="164"/>
      <c r="Z144" s="100"/>
      <c r="AA144" s="101"/>
      <c r="AB144" s="22"/>
      <c r="AC144" s="22"/>
      <c r="AD144" s="22"/>
      <c r="AE144" s="22"/>
      <c r="AF144" s="22"/>
      <c r="AG144" s="22"/>
    </row>
    <row r="145" spans="1:33" x14ac:dyDescent="0.2">
      <c r="A145" s="169" t="s">
        <v>105</v>
      </c>
      <c r="B145" s="31"/>
      <c r="C145" s="31"/>
      <c r="D145" s="62" t="s">
        <v>151</v>
      </c>
      <c r="E145" s="67"/>
      <c r="F145" s="61" t="s">
        <v>24</v>
      </c>
      <c r="G145" s="183"/>
      <c r="H145" s="17">
        <f t="shared" ref="H145:V145" si="65">+H76</f>
        <v>0</v>
      </c>
      <c r="I145" s="17">
        <f t="shared" si="65"/>
        <v>0</v>
      </c>
      <c r="J145" s="17">
        <f t="shared" si="65"/>
        <v>0</v>
      </c>
      <c r="K145" s="17">
        <f t="shared" si="65"/>
        <v>0</v>
      </c>
      <c r="L145" s="17">
        <f t="shared" si="65"/>
        <v>0</v>
      </c>
      <c r="M145" s="17">
        <f t="shared" si="65"/>
        <v>0</v>
      </c>
      <c r="N145" s="17">
        <f t="shared" si="65"/>
        <v>0</v>
      </c>
      <c r="O145" s="17">
        <f t="shared" si="65"/>
        <v>0</v>
      </c>
      <c r="P145" s="17">
        <f t="shared" si="65"/>
        <v>0</v>
      </c>
      <c r="Q145" s="17">
        <f t="shared" si="65"/>
        <v>0</v>
      </c>
      <c r="R145" s="17">
        <f t="shared" si="65"/>
        <v>0</v>
      </c>
      <c r="S145" s="17">
        <f t="shared" si="65"/>
        <v>0</v>
      </c>
      <c r="T145" s="17">
        <f t="shared" si="65"/>
        <v>0</v>
      </c>
      <c r="U145" s="17">
        <f t="shared" si="65"/>
        <v>0</v>
      </c>
      <c r="V145" s="138">
        <f t="shared" si="65"/>
        <v>0</v>
      </c>
      <c r="W145" s="135"/>
      <c r="X145" s="29"/>
      <c r="Y145" s="164"/>
      <c r="Z145" s="100"/>
      <c r="AA145" s="22"/>
      <c r="AB145" s="22"/>
      <c r="AC145" s="22"/>
      <c r="AD145" s="22"/>
      <c r="AE145" s="22"/>
      <c r="AF145" s="22"/>
      <c r="AG145" s="22"/>
    </row>
    <row r="146" spans="1:33" x14ac:dyDescent="0.2">
      <c r="A146" s="170" t="s">
        <v>105</v>
      </c>
      <c r="B146" s="154">
        <v>0.05</v>
      </c>
      <c r="C146" s="62" t="s">
        <v>202</v>
      </c>
      <c r="D146" s="62" t="s">
        <v>219</v>
      </c>
      <c r="E146" s="67"/>
      <c r="F146" s="61" t="s">
        <v>24</v>
      </c>
      <c r="G146" s="183"/>
      <c r="H146" s="17">
        <f t="shared" ref="H146:U146" si="66">IF(AND(H78&lt;&gt;0,H139&gt;0),MIN(H78,ROUND(H$139*0.05,2)),0)</f>
        <v>0</v>
      </c>
      <c r="I146" s="17">
        <f t="shared" si="66"/>
        <v>0</v>
      </c>
      <c r="J146" s="17">
        <f t="shared" si="66"/>
        <v>0</v>
      </c>
      <c r="K146" s="17">
        <f t="shared" si="66"/>
        <v>0</v>
      </c>
      <c r="L146" s="17">
        <f t="shared" si="66"/>
        <v>0</v>
      </c>
      <c r="M146" s="17">
        <f t="shared" si="66"/>
        <v>0</v>
      </c>
      <c r="N146" s="17">
        <f t="shared" si="66"/>
        <v>0</v>
      </c>
      <c r="O146" s="17">
        <f t="shared" si="66"/>
        <v>0</v>
      </c>
      <c r="P146" s="17">
        <f t="shared" si="66"/>
        <v>0</v>
      </c>
      <c r="Q146" s="17">
        <f t="shared" si="66"/>
        <v>0</v>
      </c>
      <c r="R146" s="17">
        <f t="shared" si="66"/>
        <v>0</v>
      </c>
      <c r="S146" s="17">
        <f t="shared" si="66"/>
        <v>0</v>
      </c>
      <c r="T146" s="17">
        <f t="shared" si="66"/>
        <v>0</v>
      </c>
      <c r="U146" s="17">
        <f t="shared" si="66"/>
        <v>0</v>
      </c>
      <c r="V146" s="138">
        <f>IF(V78&lt;&gt;0,MIN(V78,ROUND(V$139*0.05,2)),0)</f>
        <v>0</v>
      </c>
      <c r="W146" s="135"/>
      <c r="X146" s="29"/>
      <c r="Y146" s="164"/>
      <c r="Z146" s="29"/>
      <c r="AA146" s="22"/>
      <c r="AB146" s="22"/>
      <c r="AC146" s="22"/>
      <c r="AD146" s="22"/>
      <c r="AE146" s="22"/>
      <c r="AF146" s="22"/>
      <c r="AG146" s="22"/>
    </row>
    <row r="147" spans="1:33" x14ac:dyDescent="0.2">
      <c r="A147" s="169" t="s">
        <v>105</v>
      </c>
      <c r="B147" s="154">
        <v>0.05</v>
      </c>
      <c r="C147" s="62" t="s">
        <v>202</v>
      </c>
      <c r="D147" s="62" t="s">
        <v>26</v>
      </c>
      <c r="E147" s="67"/>
      <c r="F147" s="61" t="s">
        <v>24</v>
      </c>
      <c r="G147" s="183"/>
      <c r="H147" s="17">
        <f t="shared" ref="H147:U147" si="67">IF(AND(H79&lt;&gt;0,H139&gt;0),MIN(H79,ROUND(H$139*0.05,2)),0)</f>
        <v>0</v>
      </c>
      <c r="I147" s="17">
        <f t="shared" si="67"/>
        <v>0</v>
      </c>
      <c r="J147" s="17">
        <f t="shared" si="67"/>
        <v>0</v>
      </c>
      <c r="K147" s="17">
        <f t="shared" si="67"/>
        <v>0</v>
      </c>
      <c r="L147" s="17">
        <f t="shared" si="67"/>
        <v>0</v>
      </c>
      <c r="M147" s="17">
        <f t="shared" si="67"/>
        <v>0</v>
      </c>
      <c r="N147" s="17">
        <f t="shared" si="67"/>
        <v>0</v>
      </c>
      <c r="O147" s="17">
        <f t="shared" si="67"/>
        <v>0</v>
      </c>
      <c r="P147" s="17">
        <f t="shared" si="67"/>
        <v>0</v>
      </c>
      <c r="Q147" s="17">
        <f t="shared" si="67"/>
        <v>0</v>
      </c>
      <c r="R147" s="17">
        <f t="shared" si="67"/>
        <v>0</v>
      </c>
      <c r="S147" s="17">
        <f t="shared" si="67"/>
        <v>0</v>
      </c>
      <c r="T147" s="17">
        <f t="shared" si="67"/>
        <v>0</v>
      </c>
      <c r="U147" s="17">
        <f t="shared" si="67"/>
        <v>0</v>
      </c>
      <c r="V147" s="138">
        <f>IF(V79&lt;&gt;0,MIN(V79,ROUND(V$139*0.05,2)),0)</f>
        <v>0</v>
      </c>
      <c r="W147" s="135"/>
      <c r="X147" s="29"/>
      <c r="Y147" s="164"/>
      <c r="Z147" s="29"/>
      <c r="AA147" s="22"/>
      <c r="AB147" s="22"/>
      <c r="AC147" s="22"/>
      <c r="AD147" s="22"/>
      <c r="AE147" s="22"/>
      <c r="AF147" s="22"/>
      <c r="AG147" s="22"/>
    </row>
    <row r="148" spans="1:33" x14ac:dyDescent="0.2">
      <c r="A148" s="169" t="s">
        <v>105</v>
      </c>
      <c r="B148" s="154">
        <v>0.05</v>
      </c>
      <c r="C148" s="62" t="s">
        <v>202</v>
      </c>
      <c r="D148" s="62" t="s">
        <v>218</v>
      </c>
      <c r="E148" s="67"/>
      <c r="F148" s="61" t="s">
        <v>24</v>
      </c>
      <c r="G148" s="175"/>
      <c r="H148" s="107"/>
      <c r="I148" s="108"/>
      <c r="J148" s="108"/>
      <c r="K148" s="108"/>
      <c r="L148" s="108"/>
      <c r="M148" s="108"/>
      <c r="N148" s="108"/>
      <c r="O148" s="108"/>
      <c r="P148" s="108"/>
      <c r="Q148" s="108"/>
      <c r="R148" s="108"/>
      <c r="S148" s="108"/>
      <c r="T148" s="108"/>
      <c r="U148" s="108"/>
      <c r="V148" s="138">
        <f>IF(V80&lt;&gt;0,MIN(V80,ROUND((V139+V65+V37)*0.05,2)),0)</f>
        <v>0</v>
      </c>
      <c r="W148" s="135"/>
      <c r="X148" s="29"/>
      <c r="Y148" s="29"/>
      <c r="Z148" s="29"/>
      <c r="AA148" s="22"/>
      <c r="AB148" s="22"/>
      <c r="AC148" s="22"/>
      <c r="AD148" s="22"/>
      <c r="AE148" s="22"/>
      <c r="AF148" s="22"/>
      <c r="AG148" s="22"/>
    </row>
    <row r="149" spans="1:33" x14ac:dyDescent="0.2">
      <c r="A149" s="169" t="s">
        <v>105</v>
      </c>
      <c r="B149" s="31"/>
      <c r="C149" s="62" t="s">
        <v>202</v>
      </c>
      <c r="D149" s="62" t="s">
        <v>152</v>
      </c>
      <c r="E149" s="67"/>
      <c r="F149" s="61" t="s">
        <v>24</v>
      </c>
      <c r="G149" s="183"/>
      <c r="H149" s="17">
        <f>+IF(H81&lt;&gt;"",MIN(H81,VLOOKUP(H$1,Tablas!$X$22:$AA$35,4,FALSE)),0)</f>
        <v>0</v>
      </c>
      <c r="I149" s="17">
        <f>+IF(I81&lt;&gt;"",MIN(I81,VLOOKUP(I$1,Tablas!$X$22:$AA$35,4,FALSE)),0)</f>
        <v>0</v>
      </c>
      <c r="J149" s="17">
        <f>+IF(J81&lt;&gt;"",MIN(J81,VLOOKUP(J$1,Tablas!$X$22:$AA$35,4,FALSE)),0)</f>
        <v>0</v>
      </c>
      <c r="K149" s="17">
        <f>+IF(K81&lt;&gt;"",MIN(K81,VLOOKUP(K$1,Tablas!$X$22:$AA$35,4,FALSE)),0)</f>
        <v>0</v>
      </c>
      <c r="L149" s="17">
        <f>+IF(L81&lt;&gt;"",MIN(L81,VLOOKUP(L$1,Tablas!$X$22:$AA$35,4,FALSE)),0)</f>
        <v>0</v>
      </c>
      <c r="M149" s="17">
        <f>+IF(M81&lt;&gt;"",MIN(M81,VLOOKUP(M$1,Tablas!$X$22:$AA$35,4,FALSE)),0)</f>
        <v>0</v>
      </c>
      <c r="N149" s="17">
        <f>+IF(N81&lt;&gt;"",MIN(N81,VLOOKUP(N$1,Tablas!$X$22:$AA$35,4,FALSE)),0)</f>
        <v>0</v>
      </c>
      <c r="O149" s="17">
        <f>+IF(O81&lt;&gt;"",MIN(O81,VLOOKUP(O$1,Tablas!$X$22:$AA$35,4,FALSE)),0)</f>
        <v>0</v>
      </c>
      <c r="P149" s="17">
        <f>+IF(P81&lt;&gt;"",MIN(P81,VLOOKUP(P$1,Tablas!$X$22:$AA$35,4,FALSE)),0)</f>
        <v>0</v>
      </c>
      <c r="Q149" s="17">
        <f>+IF(Q81&lt;&gt;"",MIN(Q81,VLOOKUP(Q$1,Tablas!$X$22:$AA$35,4,FALSE)),0)</f>
        <v>0</v>
      </c>
      <c r="R149" s="17">
        <f>+IF(R81&lt;&gt;"",MIN(R81,VLOOKUP(R$1,Tablas!$X$22:$AA$35,4,FALSE)),0)</f>
        <v>0</v>
      </c>
      <c r="S149" s="17">
        <f>+IF(S81&lt;&gt;"",MIN(S81,VLOOKUP(S$1,Tablas!$X$22:$AA$35,4,FALSE)),0)</f>
        <v>0</v>
      </c>
      <c r="T149" s="17">
        <f>+IF(T81&lt;&gt;"",MIN(T81,VLOOKUP(T$1,Tablas!$X$22:$AA$35,4,FALSE)),0)</f>
        <v>0</v>
      </c>
      <c r="U149" s="17">
        <f>+IF(U81&lt;&gt;"",MIN(U81,VLOOKUP(U$1,Tablas!$X$22:$AA$35,4,FALSE)),0)</f>
        <v>0</v>
      </c>
      <c r="V149" s="138">
        <f>+IF(V81&lt;&gt;"",MIN(V81,Tablas!$AA$35),0)</f>
        <v>0</v>
      </c>
      <c r="W149" s="135"/>
      <c r="X149" s="29"/>
      <c r="Y149" s="29"/>
      <c r="Z149" s="29"/>
      <c r="AA149" s="22"/>
      <c r="AB149" s="22"/>
      <c r="AC149" s="22"/>
      <c r="AD149" s="22"/>
      <c r="AE149" s="22"/>
      <c r="AF149" s="22"/>
      <c r="AG149" s="22"/>
    </row>
    <row r="150" spans="1:33" x14ac:dyDescent="0.2">
      <c r="A150" s="169" t="s">
        <v>105</v>
      </c>
      <c r="B150" s="31"/>
      <c r="C150" s="31"/>
      <c r="D150" s="62" t="s">
        <v>153</v>
      </c>
      <c r="E150" s="67"/>
      <c r="F150" s="61" t="s">
        <v>24</v>
      </c>
      <c r="G150" s="183"/>
      <c r="H150" s="17">
        <f t="shared" ref="H150:V150" si="68">+H82</f>
        <v>0</v>
      </c>
      <c r="I150" s="17">
        <f t="shared" si="68"/>
        <v>0</v>
      </c>
      <c r="J150" s="17">
        <f t="shared" si="68"/>
        <v>0</v>
      </c>
      <c r="K150" s="17">
        <f t="shared" si="68"/>
        <v>0</v>
      </c>
      <c r="L150" s="17">
        <f t="shared" si="68"/>
        <v>0</v>
      </c>
      <c r="M150" s="17">
        <f t="shared" si="68"/>
        <v>0</v>
      </c>
      <c r="N150" s="17">
        <f t="shared" si="68"/>
        <v>0</v>
      </c>
      <c r="O150" s="17">
        <f t="shared" si="68"/>
        <v>0</v>
      </c>
      <c r="P150" s="17">
        <f t="shared" si="68"/>
        <v>0</v>
      </c>
      <c r="Q150" s="17">
        <f t="shared" si="68"/>
        <v>0</v>
      </c>
      <c r="R150" s="17">
        <f t="shared" si="68"/>
        <v>0</v>
      </c>
      <c r="S150" s="17">
        <f t="shared" si="68"/>
        <v>0</v>
      </c>
      <c r="T150" s="17">
        <f t="shared" si="68"/>
        <v>0</v>
      </c>
      <c r="U150" s="17">
        <f t="shared" si="68"/>
        <v>0</v>
      </c>
      <c r="V150" s="138">
        <f t="shared" si="68"/>
        <v>0</v>
      </c>
      <c r="W150" s="135"/>
      <c r="X150" s="29"/>
      <c r="Y150" s="29"/>
      <c r="Z150" s="29"/>
      <c r="AA150" s="22"/>
      <c r="AB150" s="22"/>
      <c r="AC150" s="22"/>
      <c r="AD150" s="22"/>
      <c r="AE150" s="22"/>
      <c r="AF150" s="22"/>
      <c r="AG150" s="22"/>
    </row>
    <row r="151" spans="1:33" x14ac:dyDescent="0.2">
      <c r="A151" s="169" t="s">
        <v>105</v>
      </c>
      <c r="B151" s="31"/>
      <c r="C151" s="31"/>
      <c r="D151" s="62" t="s">
        <v>213</v>
      </c>
      <c r="E151" s="67"/>
      <c r="F151" s="61" t="s">
        <v>24</v>
      </c>
      <c r="G151" s="183"/>
      <c r="H151" s="17">
        <f t="shared" ref="H151:V151" si="69">+H83</f>
        <v>0</v>
      </c>
      <c r="I151" s="17">
        <f t="shared" si="69"/>
        <v>0</v>
      </c>
      <c r="J151" s="17">
        <f t="shared" si="69"/>
        <v>0</v>
      </c>
      <c r="K151" s="17">
        <f t="shared" si="69"/>
        <v>0</v>
      </c>
      <c r="L151" s="17">
        <f t="shared" si="69"/>
        <v>0</v>
      </c>
      <c r="M151" s="17">
        <f t="shared" si="69"/>
        <v>0</v>
      </c>
      <c r="N151" s="17">
        <f t="shared" si="69"/>
        <v>0</v>
      </c>
      <c r="O151" s="17">
        <f t="shared" si="69"/>
        <v>0</v>
      </c>
      <c r="P151" s="17">
        <f t="shared" si="69"/>
        <v>0</v>
      </c>
      <c r="Q151" s="17">
        <f t="shared" si="69"/>
        <v>0</v>
      </c>
      <c r="R151" s="17">
        <f t="shared" si="69"/>
        <v>0</v>
      </c>
      <c r="S151" s="17">
        <f t="shared" si="69"/>
        <v>0</v>
      </c>
      <c r="T151" s="17">
        <f t="shared" si="69"/>
        <v>0</v>
      </c>
      <c r="U151" s="17">
        <f t="shared" si="69"/>
        <v>0</v>
      </c>
      <c r="V151" s="138">
        <f t="shared" si="69"/>
        <v>0</v>
      </c>
      <c r="W151" s="135"/>
      <c r="X151" s="29"/>
      <c r="Y151" s="29"/>
      <c r="Z151" s="29"/>
      <c r="AA151" s="22"/>
      <c r="AB151" s="22"/>
      <c r="AC151" s="22"/>
      <c r="AD151" s="22"/>
      <c r="AE151" s="22"/>
      <c r="AF151" s="22"/>
      <c r="AG151" s="22"/>
    </row>
    <row r="152" spans="1:33" x14ac:dyDescent="0.2">
      <c r="A152" s="169" t="s">
        <v>105</v>
      </c>
      <c r="B152" s="31"/>
      <c r="C152" s="62" t="s">
        <v>202</v>
      </c>
      <c r="D152" s="62" t="s">
        <v>154</v>
      </c>
      <c r="E152" s="67"/>
      <c r="F152" s="61" t="s">
        <v>24</v>
      </c>
      <c r="G152" s="183"/>
      <c r="H152" s="17">
        <f t="shared" ref="H152:V152" si="70">+IF(H84&lt;&gt;"",MIN(H84,H162),0)</f>
        <v>0</v>
      </c>
      <c r="I152" s="17">
        <f t="shared" si="70"/>
        <v>0</v>
      </c>
      <c r="J152" s="17">
        <f t="shared" si="70"/>
        <v>0</v>
      </c>
      <c r="K152" s="17">
        <f t="shared" si="70"/>
        <v>0</v>
      </c>
      <c r="L152" s="17">
        <f t="shared" si="70"/>
        <v>0</v>
      </c>
      <c r="M152" s="17">
        <f t="shared" si="70"/>
        <v>0</v>
      </c>
      <c r="N152" s="17">
        <f t="shared" si="70"/>
        <v>0</v>
      </c>
      <c r="O152" s="17">
        <f t="shared" si="70"/>
        <v>0</v>
      </c>
      <c r="P152" s="17">
        <f t="shared" si="70"/>
        <v>0</v>
      </c>
      <c r="Q152" s="17">
        <f t="shared" si="70"/>
        <v>0</v>
      </c>
      <c r="R152" s="17">
        <f t="shared" si="70"/>
        <v>0</v>
      </c>
      <c r="S152" s="17">
        <f t="shared" si="70"/>
        <v>0</v>
      </c>
      <c r="T152" s="17">
        <f t="shared" si="70"/>
        <v>0</v>
      </c>
      <c r="U152" s="17">
        <f t="shared" si="70"/>
        <v>0</v>
      </c>
      <c r="V152" s="138">
        <f t="shared" si="70"/>
        <v>0</v>
      </c>
      <c r="W152" s="135"/>
      <c r="X152" s="29"/>
      <c r="Y152" s="29"/>
      <c r="Z152" s="29"/>
      <c r="AA152" s="22"/>
      <c r="AB152" s="22"/>
      <c r="AC152" s="22"/>
      <c r="AD152" s="22"/>
      <c r="AE152" s="22"/>
      <c r="AF152" s="22"/>
      <c r="AG152" s="22"/>
    </row>
    <row r="153" spans="1:33" x14ac:dyDescent="0.2">
      <c r="A153" s="169" t="s">
        <v>105</v>
      </c>
      <c r="B153" s="31"/>
      <c r="C153" s="62" t="s">
        <v>202</v>
      </c>
      <c r="D153" s="62" t="s">
        <v>155</v>
      </c>
      <c r="E153" s="67"/>
      <c r="F153" s="61" t="s">
        <v>24</v>
      </c>
      <c r="G153" s="183"/>
      <c r="H153" s="17">
        <f t="shared" ref="H153:U153" si="71">IF(H85&lt;&gt;"",MIN(H85,H162),0)</f>
        <v>0</v>
      </c>
      <c r="I153" s="17">
        <f t="shared" si="71"/>
        <v>0</v>
      </c>
      <c r="J153" s="17">
        <f t="shared" si="71"/>
        <v>0</v>
      </c>
      <c r="K153" s="17">
        <f t="shared" si="71"/>
        <v>0</v>
      </c>
      <c r="L153" s="17">
        <f t="shared" si="71"/>
        <v>0</v>
      </c>
      <c r="M153" s="17">
        <f t="shared" si="71"/>
        <v>0</v>
      </c>
      <c r="N153" s="17">
        <f t="shared" si="71"/>
        <v>0</v>
      </c>
      <c r="O153" s="17">
        <f t="shared" si="71"/>
        <v>0</v>
      </c>
      <c r="P153" s="17">
        <f t="shared" si="71"/>
        <v>0</v>
      </c>
      <c r="Q153" s="17">
        <f t="shared" si="71"/>
        <v>0</v>
      </c>
      <c r="R153" s="17">
        <f t="shared" si="71"/>
        <v>0</v>
      </c>
      <c r="S153" s="17">
        <f t="shared" si="71"/>
        <v>0</v>
      </c>
      <c r="T153" s="17">
        <f t="shared" si="71"/>
        <v>0</v>
      </c>
      <c r="U153" s="17">
        <f t="shared" si="71"/>
        <v>0</v>
      </c>
      <c r="V153" s="138">
        <f>+IF(V85&lt;&gt;"",MIN(V85,V162),0)</f>
        <v>0</v>
      </c>
      <c r="W153" s="135"/>
      <c r="X153" s="29"/>
      <c r="Y153" s="29"/>
      <c r="Z153" s="29"/>
      <c r="AA153" s="22"/>
      <c r="AB153" s="22"/>
      <c r="AC153" s="22"/>
      <c r="AD153" s="22"/>
      <c r="AE153" s="22"/>
      <c r="AF153" s="22"/>
      <c r="AG153" s="22"/>
    </row>
    <row r="154" spans="1:33" x14ac:dyDescent="0.2">
      <c r="A154" s="169" t="s">
        <v>105</v>
      </c>
      <c r="B154" s="31"/>
      <c r="C154" s="31"/>
      <c r="D154" s="62" t="s">
        <v>156</v>
      </c>
      <c r="E154" s="67"/>
      <c r="F154" s="61" t="s">
        <v>24</v>
      </c>
      <c r="G154" s="183"/>
      <c r="H154" s="17">
        <f t="shared" ref="H154:V154" si="72">+H86</f>
        <v>0</v>
      </c>
      <c r="I154" s="17">
        <f t="shared" si="72"/>
        <v>0</v>
      </c>
      <c r="J154" s="17">
        <f t="shared" si="72"/>
        <v>0</v>
      </c>
      <c r="K154" s="17">
        <f t="shared" si="72"/>
        <v>0</v>
      </c>
      <c r="L154" s="17">
        <f t="shared" si="72"/>
        <v>0</v>
      </c>
      <c r="M154" s="17">
        <f t="shared" si="72"/>
        <v>0</v>
      </c>
      <c r="N154" s="17">
        <f t="shared" si="72"/>
        <v>0</v>
      </c>
      <c r="O154" s="17">
        <f t="shared" si="72"/>
        <v>0</v>
      </c>
      <c r="P154" s="17">
        <f t="shared" si="72"/>
        <v>0</v>
      </c>
      <c r="Q154" s="17">
        <f t="shared" si="72"/>
        <v>0</v>
      </c>
      <c r="R154" s="17">
        <f t="shared" si="72"/>
        <v>0</v>
      </c>
      <c r="S154" s="17">
        <f t="shared" si="72"/>
        <v>0</v>
      </c>
      <c r="T154" s="17">
        <f t="shared" si="72"/>
        <v>0</v>
      </c>
      <c r="U154" s="17">
        <f t="shared" si="72"/>
        <v>0</v>
      </c>
      <c r="V154" s="138">
        <f t="shared" si="72"/>
        <v>0</v>
      </c>
      <c r="W154" s="135"/>
      <c r="X154" s="29"/>
      <c r="Y154" s="29"/>
      <c r="Z154" s="29"/>
      <c r="AA154" s="22"/>
      <c r="AB154" s="22"/>
      <c r="AC154" s="22"/>
      <c r="AD154" s="22"/>
      <c r="AE154" s="22"/>
      <c r="AF154" s="22"/>
      <c r="AG154" s="22"/>
    </row>
    <row r="155" spans="1:33" x14ac:dyDescent="0.2">
      <c r="A155" s="169" t="s">
        <v>105</v>
      </c>
      <c r="B155" s="31"/>
      <c r="C155" s="31"/>
      <c r="D155" s="62" t="s">
        <v>157</v>
      </c>
      <c r="E155" s="67"/>
      <c r="F155" s="61" t="s">
        <v>24</v>
      </c>
      <c r="G155" s="183"/>
      <c r="H155" s="17">
        <f t="shared" ref="H155:V155" si="73">+H87</f>
        <v>0</v>
      </c>
      <c r="I155" s="17">
        <f t="shared" si="73"/>
        <v>0</v>
      </c>
      <c r="J155" s="17">
        <f t="shared" si="73"/>
        <v>0</v>
      </c>
      <c r="K155" s="17">
        <f t="shared" si="73"/>
        <v>0</v>
      </c>
      <c r="L155" s="17">
        <f t="shared" si="73"/>
        <v>0</v>
      </c>
      <c r="M155" s="17">
        <f t="shared" si="73"/>
        <v>0</v>
      </c>
      <c r="N155" s="17">
        <f t="shared" si="73"/>
        <v>0</v>
      </c>
      <c r="O155" s="17">
        <f t="shared" si="73"/>
        <v>0</v>
      </c>
      <c r="P155" s="17">
        <f t="shared" si="73"/>
        <v>0</v>
      </c>
      <c r="Q155" s="17">
        <f t="shared" si="73"/>
        <v>0</v>
      </c>
      <c r="R155" s="17">
        <f t="shared" si="73"/>
        <v>0</v>
      </c>
      <c r="S155" s="17">
        <f t="shared" si="73"/>
        <v>0</v>
      </c>
      <c r="T155" s="17">
        <f t="shared" si="73"/>
        <v>0</v>
      </c>
      <c r="U155" s="17">
        <f t="shared" si="73"/>
        <v>0</v>
      </c>
      <c r="V155" s="138">
        <f t="shared" si="73"/>
        <v>0</v>
      </c>
      <c r="W155" s="135"/>
      <c r="X155" s="29"/>
      <c r="Y155" s="29"/>
      <c r="Z155" s="29"/>
      <c r="AA155" s="22"/>
      <c r="AB155" s="22"/>
      <c r="AC155" s="22"/>
      <c r="AD155" s="22"/>
      <c r="AE155" s="22"/>
      <c r="AF155" s="22"/>
      <c r="AG155" s="22"/>
    </row>
    <row r="156" spans="1:33" x14ac:dyDescent="0.2">
      <c r="A156" s="169" t="s">
        <v>105</v>
      </c>
      <c r="B156" s="43"/>
      <c r="C156" s="43"/>
      <c r="D156" s="300" t="s">
        <v>203</v>
      </c>
      <c r="E156" s="301"/>
      <c r="F156" s="61" t="s">
        <v>24</v>
      </c>
      <c r="G156" s="183"/>
      <c r="H156" s="65">
        <f t="shared" ref="H156:V156" si="74">+SUM(H140:H155)</f>
        <v>0</v>
      </c>
      <c r="I156" s="65">
        <f t="shared" si="74"/>
        <v>0</v>
      </c>
      <c r="J156" s="65">
        <f t="shared" si="74"/>
        <v>0</v>
      </c>
      <c r="K156" s="65">
        <f t="shared" si="74"/>
        <v>0</v>
      </c>
      <c r="L156" s="65">
        <f t="shared" si="74"/>
        <v>0</v>
      </c>
      <c r="M156" s="65">
        <f t="shared" si="74"/>
        <v>0</v>
      </c>
      <c r="N156" s="65">
        <f t="shared" si="74"/>
        <v>0</v>
      </c>
      <c r="O156" s="65">
        <f t="shared" si="74"/>
        <v>0</v>
      </c>
      <c r="P156" s="65">
        <f t="shared" si="74"/>
        <v>0</v>
      </c>
      <c r="Q156" s="65">
        <f t="shared" si="74"/>
        <v>0</v>
      </c>
      <c r="R156" s="65">
        <f t="shared" si="74"/>
        <v>0</v>
      </c>
      <c r="S156" s="65">
        <f t="shared" si="74"/>
        <v>0</v>
      </c>
      <c r="T156" s="65">
        <f t="shared" si="74"/>
        <v>0</v>
      </c>
      <c r="U156" s="65">
        <f t="shared" si="74"/>
        <v>0</v>
      </c>
      <c r="V156" s="140">
        <f t="shared" si="74"/>
        <v>0</v>
      </c>
      <c r="W156" s="135"/>
      <c r="X156" s="29"/>
      <c r="Y156" s="29"/>
      <c r="Z156" s="29"/>
      <c r="AA156" s="22"/>
      <c r="AB156" s="22"/>
      <c r="AC156" s="22"/>
      <c r="AD156" s="22"/>
      <c r="AE156" s="22"/>
      <c r="AF156" s="22"/>
      <c r="AG156" s="22"/>
    </row>
    <row r="157" spans="1:33" x14ac:dyDescent="0.2">
      <c r="A157" s="169" t="s">
        <v>105</v>
      </c>
      <c r="B157" s="43"/>
      <c r="C157" s="43"/>
      <c r="D157" s="43"/>
      <c r="E157" s="91"/>
      <c r="F157" s="92"/>
      <c r="G157" s="188"/>
      <c r="H157" s="42"/>
      <c r="I157" s="42"/>
      <c r="J157" s="42"/>
      <c r="K157" s="42"/>
      <c r="L157" s="42"/>
      <c r="M157" s="42"/>
      <c r="N157" s="42"/>
      <c r="O157" s="42"/>
      <c r="P157" s="42"/>
      <c r="Q157" s="42"/>
      <c r="R157" s="42"/>
      <c r="S157" s="42"/>
      <c r="T157" s="42"/>
      <c r="U157" s="42"/>
      <c r="V157" s="149"/>
      <c r="W157" s="150"/>
      <c r="X157" s="29"/>
      <c r="Y157" s="29"/>
      <c r="Z157" s="29"/>
      <c r="AA157" s="22"/>
      <c r="AB157" s="22"/>
      <c r="AC157" s="22"/>
      <c r="AD157" s="22"/>
      <c r="AE157" s="22"/>
      <c r="AF157" s="22"/>
      <c r="AG157" s="22"/>
    </row>
    <row r="158" spans="1:33" x14ac:dyDescent="0.2">
      <c r="A158" s="169" t="s">
        <v>105</v>
      </c>
      <c r="B158" s="307" t="s">
        <v>282</v>
      </c>
      <c r="C158" s="312"/>
      <c r="D158" s="312"/>
      <c r="E158" s="312"/>
      <c r="F158" s="312"/>
      <c r="G158" s="189"/>
      <c r="H158" s="41">
        <f t="shared" ref="H158:U158" si="75">+H137-H138-H156</f>
        <v>0</v>
      </c>
      <c r="I158" s="41">
        <f t="shared" si="75"/>
        <v>0</v>
      </c>
      <c r="J158" s="41">
        <f t="shared" si="75"/>
        <v>0</v>
      </c>
      <c r="K158" s="41">
        <f t="shared" si="75"/>
        <v>0</v>
      </c>
      <c r="L158" s="41">
        <f t="shared" si="75"/>
        <v>0</v>
      </c>
      <c r="M158" s="41">
        <f t="shared" si="75"/>
        <v>0</v>
      </c>
      <c r="N158" s="41">
        <f t="shared" si="75"/>
        <v>0</v>
      </c>
      <c r="O158" s="41">
        <f t="shared" si="75"/>
        <v>0</v>
      </c>
      <c r="P158" s="41">
        <f t="shared" si="75"/>
        <v>0</v>
      </c>
      <c r="Q158" s="41">
        <f t="shared" si="75"/>
        <v>0</v>
      </c>
      <c r="R158" s="41">
        <f t="shared" si="75"/>
        <v>0</v>
      </c>
      <c r="S158" s="41">
        <f t="shared" si="75"/>
        <v>0</v>
      </c>
      <c r="T158" s="41">
        <f t="shared" si="75"/>
        <v>0</v>
      </c>
      <c r="U158" s="41">
        <f t="shared" si="75"/>
        <v>0</v>
      </c>
      <c r="V158" s="151">
        <f>+V137-V138-SUM(V140:V156)</f>
        <v>0</v>
      </c>
      <c r="W158" s="150"/>
      <c r="X158" s="29"/>
      <c r="Y158" s="29"/>
      <c r="Z158" s="29"/>
      <c r="AA158" s="22"/>
      <c r="AB158" s="22"/>
      <c r="AC158" s="22"/>
      <c r="AD158" s="22"/>
      <c r="AE158" s="22"/>
      <c r="AF158" s="22"/>
      <c r="AG158" s="22"/>
    </row>
    <row r="159" spans="1:33" x14ac:dyDescent="0.2">
      <c r="A159" s="169" t="s">
        <v>105</v>
      </c>
      <c r="B159" s="307" t="s">
        <v>207</v>
      </c>
      <c r="C159" s="308"/>
      <c r="D159" s="308"/>
      <c r="E159" s="308"/>
      <c r="F159" s="308"/>
      <c r="G159" s="188"/>
      <c r="H159" s="42">
        <f>+H136</f>
        <v>0</v>
      </c>
      <c r="I159" s="42">
        <f t="shared" ref="I159:U159" si="76">+H159+I136</f>
        <v>0</v>
      </c>
      <c r="J159" s="42">
        <f t="shared" si="76"/>
        <v>0</v>
      </c>
      <c r="K159" s="42">
        <f t="shared" si="76"/>
        <v>0</v>
      </c>
      <c r="L159" s="42">
        <f t="shared" si="76"/>
        <v>0</v>
      </c>
      <c r="M159" s="42">
        <f t="shared" si="76"/>
        <v>0</v>
      </c>
      <c r="N159" s="42">
        <f t="shared" si="76"/>
        <v>0</v>
      </c>
      <c r="O159" s="42">
        <f t="shared" si="76"/>
        <v>0</v>
      </c>
      <c r="P159" s="42">
        <f t="shared" si="76"/>
        <v>0</v>
      </c>
      <c r="Q159" s="42">
        <f t="shared" si="76"/>
        <v>0</v>
      </c>
      <c r="R159" s="42">
        <f t="shared" si="76"/>
        <v>0</v>
      </c>
      <c r="S159" s="42">
        <f t="shared" si="76"/>
        <v>0</v>
      </c>
      <c r="T159" s="42">
        <f t="shared" si="76"/>
        <v>0</v>
      </c>
      <c r="U159" s="42">
        <f t="shared" si="76"/>
        <v>0</v>
      </c>
      <c r="V159" s="42">
        <f>+V138</f>
        <v>0</v>
      </c>
      <c r="W159" s="135"/>
      <c r="X159" s="29"/>
      <c r="Y159" s="29"/>
      <c r="Z159" s="29"/>
      <c r="AA159" s="22"/>
      <c r="AB159" s="22"/>
      <c r="AC159" s="22"/>
      <c r="AD159" s="22"/>
      <c r="AE159" s="22"/>
      <c r="AF159" s="22"/>
      <c r="AG159" s="22"/>
    </row>
    <row r="160" spans="1:33" x14ac:dyDescent="0.2">
      <c r="A160" s="169" t="s">
        <v>105</v>
      </c>
      <c r="B160" s="307" t="s">
        <v>273</v>
      </c>
      <c r="C160" s="308"/>
      <c r="D160" s="308"/>
      <c r="E160" s="308"/>
      <c r="F160" s="308"/>
      <c r="G160" s="188"/>
      <c r="H160" s="42">
        <f>+H158+H159</f>
        <v>0</v>
      </c>
      <c r="I160" s="42">
        <f t="shared" ref="I160:U160" si="77">+I158+I159</f>
        <v>0</v>
      </c>
      <c r="J160" s="42">
        <f t="shared" si="77"/>
        <v>0</v>
      </c>
      <c r="K160" s="42">
        <f t="shared" si="77"/>
        <v>0</v>
      </c>
      <c r="L160" s="42">
        <f t="shared" si="77"/>
        <v>0</v>
      </c>
      <c r="M160" s="42">
        <f t="shared" si="77"/>
        <v>0</v>
      </c>
      <c r="N160" s="42">
        <f t="shared" si="77"/>
        <v>0</v>
      </c>
      <c r="O160" s="42">
        <f t="shared" si="77"/>
        <v>0</v>
      </c>
      <c r="P160" s="42">
        <f t="shared" si="77"/>
        <v>0</v>
      </c>
      <c r="Q160" s="42">
        <f t="shared" si="77"/>
        <v>0</v>
      </c>
      <c r="R160" s="42">
        <f t="shared" si="77"/>
        <v>0</v>
      </c>
      <c r="S160" s="42">
        <f t="shared" si="77"/>
        <v>0</v>
      </c>
      <c r="T160" s="42">
        <f t="shared" si="77"/>
        <v>0</v>
      </c>
      <c r="U160" s="42">
        <f t="shared" si="77"/>
        <v>0</v>
      </c>
      <c r="V160" s="149">
        <f>+V158+V159</f>
        <v>0</v>
      </c>
      <c r="W160" s="135"/>
      <c r="X160" s="29"/>
      <c r="Y160" s="29"/>
      <c r="Z160" s="29"/>
      <c r="AA160" s="22"/>
      <c r="AB160" s="22"/>
      <c r="AC160" s="22"/>
      <c r="AD160" s="22"/>
      <c r="AE160" s="22"/>
      <c r="AF160" s="22"/>
      <c r="AG160" s="22"/>
    </row>
    <row r="161" spans="1:33" x14ac:dyDescent="0.2">
      <c r="A161" s="169" t="s">
        <v>105</v>
      </c>
      <c r="B161" s="43"/>
      <c r="C161" s="43"/>
      <c r="D161" s="43"/>
      <c r="E161" s="93"/>
      <c r="F161" s="94"/>
      <c r="G161" s="188"/>
      <c r="H161" s="47"/>
      <c r="I161" s="47"/>
      <c r="J161" s="47"/>
      <c r="K161" s="47"/>
      <c r="L161" s="47"/>
      <c r="M161" s="47"/>
      <c r="N161" s="47"/>
      <c r="O161" s="47"/>
      <c r="P161" s="47"/>
      <c r="Q161" s="47"/>
      <c r="R161" s="47"/>
      <c r="S161" s="47"/>
      <c r="T161" s="47"/>
      <c r="U161" s="47"/>
      <c r="V161" s="143"/>
      <c r="W161" s="135"/>
      <c r="X161" s="48"/>
      <c r="Y161" s="29"/>
      <c r="Z161" s="29"/>
      <c r="AA161" s="22"/>
      <c r="AB161" s="22"/>
      <c r="AC161" s="22"/>
      <c r="AD161" s="22"/>
      <c r="AE161" s="22"/>
      <c r="AF161" s="22"/>
      <c r="AG161" s="22"/>
    </row>
    <row r="162" spans="1:33" x14ac:dyDescent="0.2">
      <c r="A162" s="169" t="s">
        <v>105</v>
      </c>
      <c r="B162" s="43"/>
      <c r="C162" s="43"/>
      <c r="D162" s="43"/>
      <c r="E162" s="8" t="s">
        <v>20</v>
      </c>
      <c r="F162" s="61" t="s">
        <v>24</v>
      </c>
      <c r="G162" s="183"/>
      <c r="H162" s="17">
        <f>+IF(H6&lt;&gt;"",VLOOKUP(H$1,Tablas!$A$21:$P$35,2+H$5,FALSE),0)</f>
        <v>13973.2</v>
      </c>
      <c r="I162" s="17">
        <f>+IF(I6&lt;&gt;"",VLOOKUP(I$1,Tablas!$A$21:$P$35,2+I$5,FALSE),0)</f>
        <v>27946.400000000001</v>
      </c>
      <c r="J162" s="17">
        <f>+IF(J6&lt;&gt;"",VLOOKUP(J$1,Tablas!$A$21:$P$35,2+J$5,FALSE),0)</f>
        <v>41919.599999999999</v>
      </c>
      <c r="K162" s="17">
        <f>+IF(K6&lt;&gt;"",VLOOKUP(K$1,Tablas!$A$21:$P$35,2+K$5,FALSE),0)</f>
        <v>55892.800000000003</v>
      </c>
      <c r="L162" s="17">
        <f>+IF(L6&lt;&gt;"",VLOOKUP(L$1,Tablas!$A$21:$P$35,2+L$5,FALSE),0)</f>
        <v>69866</v>
      </c>
      <c r="M162" s="17">
        <f>+IF(M6&lt;&gt;"",VLOOKUP(M$1,Tablas!$A$21:$P$35,2+M$5,FALSE),0)</f>
        <v>83839.199999999997</v>
      </c>
      <c r="N162" s="17">
        <f>+IF(N6&lt;&gt;"",VLOOKUP(N$1,Tablas!$A$21:$P$35,2+N$5,FALSE),0)</f>
        <v>83839.199999999997</v>
      </c>
      <c r="O162" s="17">
        <f>+IF(O6&lt;&gt;"",VLOOKUP(O$1,Tablas!$A$21:$P$35,2+O$5,FALSE),0)</f>
        <v>97812.4</v>
      </c>
      <c r="P162" s="17">
        <f>+IF(P6&lt;&gt;"",VLOOKUP(P$1,Tablas!$A$21:$P$35,2+P$5,FALSE),0)</f>
        <v>111785.60000000001</v>
      </c>
      <c r="Q162" s="17">
        <f>+IF(Q6&lt;&gt;"",VLOOKUP(Q$1,Tablas!$A$21:$P$35,2+Q$5,FALSE),0)</f>
        <v>125758.8</v>
      </c>
      <c r="R162" s="17">
        <f>+IF(R6&lt;&gt;"",VLOOKUP(R$1,Tablas!$A$21:$P$35,2+R$5,FALSE),0)</f>
        <v>139732</v>
      </c>
      <c r="S162" s="17">
        <f>+IF(S6&lt;&gt;"",VLOOKUP(S$1,Tablas!$A$21:$P$35,2+S$5,FALSE),0)</f>
        <v>153705.20000000001</v>
      </c>
      <c r="T162" s="17">
        <f>+IF(T6&lt;&gt;"",VLOOKUP(T$1,Tablas!$A$21:$P$35,2+T$5,FALSE),0)</f>
        <v>167678.39999999999</v>
      </c>
      <c r="U162" s="17">
        <f>+IF(U6&lt;&gt;"",VLOOKUP(U$1,Tablas!$A$21:$P$35,2+U$5,FALSE),0)</f>
        <v>167678.39999999999</v>
      </c>
      <c r="V162" s="138">
        <f>+IF(V6&lt;&gt;"",VLOOKUP(13,Tablas!$A$21:$P$35,2+$V$5,FALSE),0)</f>
        <v>167678.39999999999</v>
      </c>
      <c r="W162" s="135"/>
      <c r="X162" s="49"/>
      <c r="Y162" s="29"/>
      <c r="Z162" s="29"/>
      <c r="AA162" s="22"/>
      <c r="AB162" s="22"/>
      <c r="AC162" s="22"/>
      <c r="AD162" s="22"/>
      <c r="AE162" s="22"/>
      <c r="AF162" s="22"/>
      <c r="AG162" s="22"/>
    </row>
    <row r="163" spans="1:33" x14ac:dyDescent="0.2">
      <c r="A163" s="169" t="s">
        <v>105</v>
      </c>
      <c r="B163" s="43"/>
      <c r="C163" s="50"/>
      <c r="D163" s="51" t="s">
        <v>25</v>
      </c>
      <c r="E163" s="8" t="s">
        <v>21</v>
      </c>
      <c r="F163" s="61" t="s">
        <v>24</v>
      </c>
      <c r="G163" s="183"/>
      <c r="H163" s="17">
        <f>+IF(H6="",0,VLOOKUP(H1,Tablas!$A$37:$P$51,2+H$5,FALSE))</f>
        <v>67071.360000000001</v>
      </c>
      <c r="I163" s="17">
        <f>+IF(I6="",0,VLOOKUP(I1,Tablas!$A$37:$P$51,2+I$5,FALSE))</f>
        <v>134142.72</v>
      </c>
      <c r="J163" s="17">
        <f>+IF(J6="",0,VLOOKUP(J1,Tablas!$A$37:$P$51,2+J$5,FALSE))</f>
        <v>201214.09</v>
      </c>
      <c r="K163" s="17">
        <f>+IF(K6="",0,VLOOKUP(K1,Tablas!$A$37:$P$51,2+K$5,FALSE))</f>
        <v>268285.45</v>
      </c>
      <c r="L163" s="17">
        <f>+IF(L6="",0,VLOOKUP(L1,Tablas!$A$37:$P$51,2+L$5,FALSE))</f>
        <v>335356.81</v>
      </c>
      <c r="M163" s="17">
        <f>+IF(M6="",0,VLOOKUP(M1,Tablas!$A$37:$P$51,2+M$5,FALSE))</f>
        <v>402428.17</v>
      </c>
      <c r="N163" s="17">
        <f>+IF(N6="",0,VLOOKUP(N1,Tablas!$A$37:$P$51,2+N$5,FALSE))</f>
        <v>402428.17</v>
      </c>
      <c r="O163" s="17">
        <f>+IF(O6="",0,VLOOKUP(O1,Tablas!$A$37:$P$51,2+O$5,FALSE))</f>
        <v>469499.53</v>
      </c>
      <c r="P163" s="17">
        <f>+IF(P6="",0,VLOOKUP(P1,Tablas!$A$37:$P$51,2+P$5,FALSE))</f>
        <v>536570.89</v>
      </c>
      <c r="Q163" s="17">
        <f>+IF(Q6="",0,VLOOKUP(Q1,Tablas!$A$37:$P$51,2+Q$5,FALSE))</f>
        <v>603642.26</v>
      </c>
      <c r="R163" s="17">
        <f>+IF(R6="",0,VLOOKUP(R1,Tablas!$A$37:$P$51,2+R$5,FALSE))</f>
        <v>670713.62</v>
      </c>
      <c r="S163" s="17">
        <f>+IF(S6="",0,VLOOKUP(S1,Tablas!$A$37:$P$51,2+S$5,FALSE))</f>
        <v>737784.98</v>
      </c>
      <c r="T163" s="17">
        <f>+IF(T6="",0,VLOOKUP(T1,Tablas!$A$37:$P$51,2+T$5,FALSE))</f>
        <v>804856.34</v>
      </c>
      <c r="U163" s="17">
        <f>+IF(U6="",0,VLOOKUP(U1,Tablas!$A$37:$P$51,2+U$5,FALSE))</f>
        <v>804856.34</v>
      </c>
      <c r="V163" s="138">
        <f>VLOOKUP(13,Tablas!$A$37:$P$51,2+V$5)</f>
        <v>804856.34</v>
      </c>
      <c r="W163" s="135"/>
      <c r="X163" s="49"/>
      <c r="Y163" s="29"/>
      <c r="Z163" s="29"/>
      <c r="AA163" s="22"/>
      <c r="AB163" s="22"/>
      <c r="AC163" s="22"/>
      <c r="AD163" s="22"/>
      <c r="AE163" s="22"/>
      <c r="AF163" s="22"/>
      <c r="AG163" s="22"/>
    </row>
    <row r="164" spans="1:33" x14ac:dyDescent="0.2">
      <c r="A164" s="169" t="s">
        <v>105</v>
      </c>
      <c r="B164" s="43"/>
      <c r="C164" s="21"/>
      <c r="D164" s="16">
        <f>+COUNTIF(E196,"&gt;0")</f>
        <v>0</v>
      </c>
      <c r="E164" s="8" t="s">
        <v>22</v>
      </c>
      <c r="F164" s="61" t="s">
        <v>24</v>
      </c>
      <c r="G164" s="183"/>
      <c r="H164" s="17">
        <f>+H196</f>
        <v>0</v>
      </c>
      <c r="I164" s="17">
        <f t="shared" ref="I164:U164" si="78">+I196</f>
        <v>0</v>
      </c>
      <c r="J164" s="17">
        <f t="shared" si="78"/>
        <v>0</v>
      </c>
      <c r="K164" s="17">
        <f t="shared" si="78"/>
        <v>0</v>
      </c>
      <c r="L164" s="17">
        <f t="shared" si="78"/>
        <v>0</v>
      </c>
      <c r="M164" s="17">
        <f t="shared" si="78"/>
        <v>0</v>
      </c>
      <c r="N164" s="17">
        <f t="shared" si="78"/>
        <v>0</v>
      </c>
      <c r="O164" s="17">
        <f t="shared" si="78"/>
        <v>0</v>
      </c>
      <c r="P164" s="17">
        <f t="shared" si="78"/>
        <v>0</v>
      </c>
      <c r="Q164" s="17">
        <f t="shared" si="78"/>
        <v>0</v>
      </c>
      <c r="R164" s="17">
        <f t="shared" si="78"/>
        <v>0</v>
      </c>
      <c r="S164" s="17">
        <f t="shared" si="78"/>
        <v>0</v>
      </c>
      <c r="T164" s="17">
        <f t="shared" si="78"/>
        <v>0</v>
      </c>
      <c r="U164" s="17">
        <f t="shared" si="78"/>
        <v>0</v>
      </c>
      <c r="V164" s="138">
        <f>+V196</f>
        <v>0</v>
      </c>
      <c r="W164" s="135"/>
      <c r="X164" s="49"/>
      <c r="Y164" s="29"/>
      <c r="Z164" s="29"/>
      <c r="AA164" s="22"/>
      <c r="AB164" s="22"/>
      <c r="AC164" s="22"/>
      <c r="AD164" s="22"/>
      <c r="AE164" s="22"/>
      <c r="AF164" s="22"/>
      <c r="AG164" s="22"/>
    </row>
    <row r="165" spans="1:33" x14ac:dyDescent="0.2">
      <c r="A165" s="169" t="s">
        <v>105</v>
      </c>
      <c r="B165" s="43"/>
      <c r="C165" s="21"/>
      <c r="D165" s="16">
        <f>COUNTIF(E197:E208,"&gt;0")</f>
        <v>0</v>
      </c>
      <c r="E165" s="8" t="s">
        <v>23</v>
      </c>
      <c r="F165" s="61" t="s">
        <v>24</v>
      </c>
      <c r="G165" s="183"/>
      <c r="H165" s="17">
        <f t="shared" ref="H165:U165" si="79">+SUM(H197:H208)</f>
        <v>0</v>
      </c>
      <c r="I165" s="17">
        <f t="shared" si="79"/>
        <v>0</v>
      </c>
      <c r="J165" s="17">
        <f t="shared" si="79"/>
        <v>0</v>
      </c>
      <c r="K165" s="17">
        <f t="shared" si="79"/>
        <v>0</v>
      </c>
      <c r="L165" s="17">
        <f t="shared" si="79"/>
        <v>0</v>
      </c>
      <c r="M165" s="17">
        <f t="shared" si="79"/>
        <v>0</v>
      </c>
      <c r="N165" s="17">
        <f t="shared" si="79"/>
        <v>0</v>
      </c>
      <c r="O165" s="17">
        <f t="shared" si="79"/>
        <v>0</v>
      </c>
      <c r="P165" s="17">
        <f t="shared" si="79"/>
        <v>0</v>
      </c>
      <c r="Q165" s="17">
        <f t="shared" si="79"/>
        <v>0</v>
      </c>
      <c r="R165" s="17">
        <f t="shared" si="79"/>
        <v>0</v>
      </c>
      <c r="S165" s="17">
        <f t="shared" si="79"/>
        <v>0</v>
      </c>
      <c r="T165" s="17">
        <f t="shared" si="79"/>
        <v>0</v>
      </c>
      <c r="U165" s="17">
        <f t="shared" si="79"/>
        <v>0</v>
      </c>
      <c r="V165" s="17">
        <f>+SUM(V197:V208)</f>
        <v>0</v>
      </c>
      <c r="W165" s="135"/>
      <c r="X165" s="40"/>
      <c r="Y165" s="29"/>
      <c r="Z165" s="29"/>
      <c r="AA165" s="22"/>
      <c r="AB165" s="22"/>
      <c r="AC165" s="22"/>
      <c r="AD165" s="22"/>
      <c r="AE165" s="22"/>
      <c r="AF165" s="22"/>
      <c r="AG165" s="22"/>
    </row>
    <row r="166" spans="1:33" x14ac:dyDescent="0.2">
      <c r="A166" s="169" t="s">
        <v>105</v>
      </c>
      <c r="B166" s="43"/>
      <c r="C166" s="21"/>
      <c r="D166" s="21"/>
      <c r="E166" s="62" t="s">
        <v>267</v>
      </c>
      <c r="F166" s="61" t="s">
        <v>24</v>
      </c>
      <c r="G166" s="183"/>
      <c r="H166" s="17">
        <v>0</v>
      </c>
      <c r="I166" s="17">
        <f>+IF(I$1&lt;&gt;H$1,H166+H168,H166)</f>
        <v>0</v>
      </c>
      <c r="J166" s="17">
        <f t="shared" ref="J166:U166" si="80">+IF(J$1&lt;&gt;I$1,I166+I168,I166)</f>
        <v>0</v>
      </c>
      <c r="K166" s="17">
        <f t="shared" si="80"/>
        <v>0</v>
      </c>
      <c r="L166" s="17">
        <f t="shared" si="80"/>
        <v>0</v>
      </c>
      <c r="M166" s="17">
        <f t="shared" si="80"/>
        <v>0</v>
      </c>
      <c r="N166" s="17">
        <f t="shared" si="80"/>
        <v>0</v>
      </c>
      <c r="O166" s="17">
        <f t="shared" si="80"/>
        <v>0</v>
      </c>
      <c r="P166" s="17">
        <f t="shared" si="80"/>
        <v>0</v>
      </c>
      <c r="Q166" s="17">
        <f t="shared" si="80"/>
        <v>0</v>
      </c>
      <c r="R166" s="17">
        <f t="shared" si="80"/>
        <v>0</v>
      </c>
      <c r="S166" s="17">
        <f t="shared" si="80"/>
        <v>0</v>
      </c>
      <c r="T166" s="17">
        <f t="shared" si="80"/>
        <v>0</v>
      </c>
      <c r="U166" s="17">
        <f t="shared" si="80"/>
        <v>0</v>
      </c>
      <c r="V166" s="138">
        <f>+U166+T168</f>
        <v>0</v>
      </c>
      <c r="W166" s="135"/>
      <c r="X166" s="199"/>
      <c r="Y166" s="29"/>
      <c r="Z166" s="29"/>
      <c r="AA166" s="22"/>
      <c r="AB166" s="22"/>
      <c r="AC166" s="22"/>
      <c r="AD166" s="22"/>
      <c r="AE166" s="22"/>
      <c r="AF166" s="22"/>
      <c r="AG166" s="22"/>
    </row>
    <row r="167" spans="1:33" x14ac:dyDescent="0.2">
      <c r="A167" s="169" t="s">
        <v>105</v>
      </c>
      <c r="B167" s="43"/>
      <c r="C167" s="21"/>
      <c r="D167" s="21"/>
      <c r="E167" s="62" t="s">
        <v>268</v>
      </c>
      <c r="F167" s="61" t="s">
        <v>24</v>
      </c>
      <c r="G167" s="183"/>
      <c r="H167" s="17">
        <v>0</v>
      </c>
      <c r="I167" s="17">
        <f>+IF(I$1&lt;&gt;H$1,H167+H169,H167)</f>
        <v>0</v>
      </c>
      <c r="J167" s="17">
        <f t="shared" ref="J167:U167" si="81">+IF(J$1&lt;&gt;I$1,I167+I169,I167)</f>
        <v>0</v>
      </c>
      <c r="K167" s="17">
        <f t="shared" si="81"/>
        <v>0</v>
      </c>
      <c r="L167" s="17">
        <f t="shared" si="81"/>
        <v>0</v>
      </c>
      <c r="M167" s="17">
        <f t="shared" si="81"/>
        <v>0</v>
      </c>
      <c r="N167" s="17">
        <f t="shared" si="81"/>
        <v>0</v>
      </c>
      <c r="O167" s="17">
        <f t="shared" si="81"/>
        <v>0</v>
      </c>
      <c r="P167" s="17">
        <f t="shared" si="81"/>
        <v>0</v>
      </c>
      <c r="Q167" s="17">
        <f t="shared" si="81"/>
        <v>0</v>
      </c>
      <c r="R167" s="17">
        <f t="shared" si="81"/>
        <v>0</v>
      </c>
      <c r="S167" s="17">
        <f t="shared" si="81"/>
        <v>0</v>
      </c>
      <c r="T167" s="17">
        <f t="shared" si="81"/>
        <v>0</v>
      </c>
      <c r="U167" s="17">
        <f t="shared" si="81"/>
        <v>0</v>
      </c>
      <c r="V167" s="138">
        <f>+U167+T169</f>
        <v>0</v>
      </c>
      <c r="W167" s="135"/>
      <c r="X167" s="199"/>
      <c r="Y167" s="29"/>
      <c r="Z167" s="29"/>
      <c r="AA167" s="22"/>
      <c r="AB167" s="22"/>
      <c r="AC167" s="22"/>
      <c r="AD167" s="22"/>
      <c r="AE167" s="22"/>
      <c r="AF167" s="22"/>
      <c r="AG167" s="22"/>
    </row>
    <row r="168" spans="1:33" x14ac:dyDescent="0.2">
      <c r="A168" s="169" t="s">
        <v>105</v>
      </c>
      <c r="B168" s="43"/>
      <c r="C168" s="21"/>
      <c r="D168" s="21"/>
      <c r="E168" s="62" t="s">
        <v>270</v>
      </c>
      <c r="F168" s="61" t="s">
        <v>24</v>
      </c>
      <c r="G168" s="183"/>
      <c r="H168" s="17">
        <f>+IF(AND(H10&lt;=Tablas!$AG$20,H160&gt;SUM(H162:H167)),H160-SUM(H162:H167),0)</f>
        <v>0</v>
      </c>
      <c r="I168" s="17">
        <f>+IF(AND(I10&lt;=Tablas!$AG$20,I160&gt;SUM(I162:I167)),I160-SUM(I162:I167),0)</f>
        <v>0</v>
      </c>
      <c r="J168" s="17">
        <f>+IF(AND(J10&lt;=Tablas!$AG$20,J160&gt;SUM(J162:J167)),J160-SUM(J162:J167),0)</f>
        <v>0</v>
      </c>
      <c r="K168" s="17">
        <f>+IF(AND(K10&lt;=Tablas!$AG$20,K160&gt;SUM(K162:K167)),K160-SUM(K162:K167),0)</f>
        <v>0</v>
      </c>
      <c r="L168" s="17">
        <f>+IF(AND(L10&lt;=Tablas!$AG$20,L160&gt;SUM(L162:L167)),L160-SUM(L162:L167),0)</f>
        <v>0</v>
      </c>
      <c r="M168" s="17">
        <f>+IF(AND(M10&lt;=Tablas!$AG$20,M160&gt;SUM(M162:M167)),M160-SUM(M162:M167),0)</f>
        <v>0</v>
      </c>
      <c r="N168" s="17">
        <f>+IF(AND(N10&lt;=Tablas!$AG$20,N160&gt;SUM(N162:N167)),N160-SUM(N162:N167),0)</f>
        <v>0</v>
      </c>
      <c r="O168" s="17">
        <f>+IF(AND(O10&lt;=Tablas!$AG$20,O160&gt;SUM(O162:O167)),O160-SUM(O162:O167),0)</f>
        <v>0</v>
      </c>
      <c r="P168" s="17">
        <f>+IF(AND(P10&lt;=Tablas!$AG$20,P160&gt;SUM(P162:P167)),P160-SUM(P162:P167),0)</f>
        <v>0</v>
      </c>
      <c r="Q168" s="17">
        <f>+IF(AND(Q10&lt;=Tablas!$AG$20,Q160&gt;SUM(Q162:Q167)),Q160-SUM(Q162:Q167),0)</f>
        <v>0</v>
      </c>
      <c r="R168" s="17">
        <f>+IF(AND(R10&lt;=Tablas!$AG$20,R160&gt;SUM(R162:R167)),R160-SUM(R162:R167),0)</f>
        <v>0</v>
      </c>
      <c r="S168" s="17">
        <f>+IF(AND(S10&lt;=Tablas!$AG$20,S160&gt;SUM(S162:S167)),S160-SUM(S162:S167),0)</f>
        <v>0</v>
      </c>
      <c r="T168" s="17">
        <f>+IF(AND(T10&lt;=Tablas!$AG$20,T160&gt;SUM(T162:T167)),T160-SUM(T162:T167),0)</f>
        <v>0</v>
      </c>
      <c r="U168" s="17">
        <f>+IF(AND(U10&lt;=Tablas!$AG$20,U160&gt;SUM(U162:U167)),U160-SUM(U162:U167),0)</f>
        <v>0</v>
      </c>
      <c r="V168" s="192"/>
      <c r="W168" s="135"/>
      <c r="X168" s="40"/>
      <c r="Y168" s="29"/>
      <c r="Z168" s="29"/>
      <c r="AA168" s="22"/>
      <c r="AB168" s="22"/>
      <c r="AC168" s="22"/>
      <c r="AD168" s="22"/>
      <c r="AE168" s="22"/>
      <c r="AF168" s="22"/>
      <c r="AG168" s="22"/>
    </row>
    <row r="169" spans="1:33" x14ac:dyDescent="0.2">
      <c r="A169" s="169" t="s">
        <v>105</v>
      </c>
      <c r="B169" s="43"/>
      <c r="C169" s="21"/>
      <c r="D169" s="21"/>
      <c r="E169" s="62" t="s">
        <v>269</v>
      </c>
      <c r="F169" s="61" t="s">
        <v>24</v>
      </c>
      <c r="G169" s="183"/>
      <c r="H169" s="17">
        <f>+IF(AND(H10&gt;0,H10&gt;Tablas!$AG$20,H10&lt;=Tablas!$AG$21),VLOOKUP(H10,Tablas!$AE$28:$AF$258,2),0)</f>
        <v>0</v>
      </c>
      <c r="I169" s="17">
        <f>+IF(AND(I10&gt;0,I10&gt;Tablas!$AG$20,I10&lt;=Tablas!$AG$21),VLOOKUP(I10,Tablas!$AE$28:$AF$258,2),0)</f>
        <v>0</v>
      </c>
      <c r="J169" s="17">
        <f>+IF(AND(J10&gt;0,J10&gt;Tablas!$AG$20,J10&lt;=Tablas!$AG$21),VLOOKUP(J10,Tablas!$AE$28:$AF$258,2),0)</f>
        <v>0</v>
      </c>
      <c r="K169" s="17">
        <f>+IF(AND(K10&gt;0,K10&gt;Tablas!$AG$20,K10&lt;=Tablas!$AG$21),VLOOKUP(K10,Tablas!$AE$28:$AF$258,2),0)</f>
        <v>0</v>
      </c>
      <c r="L169" s="17">
        <f>+IF(AND(L10&gt;0,L10&gt;Tablas!$AG$20,L10&lt;=Tablas!$AG$21),VLOOKUP(L10,Tablas!$AE$28:$AF$258,2),0)</f>
        <v>0</v>
      </c>
      <c r="M169" s="17">
        <f>+IF(AND(M10&gt;0,M10&gt;Tablas!$AG$20,M10&lt;=Tablas!$AG$21),VLOOKUP(M10,Tablas!$AE$28:$AF$258,2),0)</f>
        <v>0</v>
      </c>
      <c r="N169" s="17">
        <f>+IF(AND(N10&gt;0,N10&gt;Tablas!$AG$20,N10&lt;=Tablas!$AG$21),VLOOKUP(N10,Tablas!$AE$28:$AF$258,2),0)</f>
        <v>0</v>
      </c>
      <c r="O169" s="17">
        <f>+IF(AND(O10&gt;0,O10&gt;Tablas!$AG$20,O10&lt;=Tablas!$AG$21),VLOOKUP(O10,Tablas!$AE$28:$AF$258,2),0)</f>
        <v>0</v>
      </c>
      <c r="P169" s="17">
        <f>+IF(AND(P10&gt;0,P10&gt;Tablas!$AG$20,P10&lt;=Tablas!$AG$21),VLOOKUP(P10,Tablas!$AE$28:$AF$258,2),0)</f>
        <v>0</v>
      </c>
      <c r="Q169" s="17">
        <f>+IF(AND(Q10&gt;0,Q10&gt;Tablas!$AG$20,Q10&lt;=Tablas!$AG$21),VLOOKUP(Q10,Tablas!$AE$28:$AF$258,2),0)</f>
        <v>0</v>
      </c>
      <c r="R169" s="17">
        <f>+IF(AND(R10&gt;0,R10&gt;Tablas!$AG$20,R10&lt;=Tablas!$AG$21),VLOOKUP(R10,Tablas!$AE$28:$AF$258,2),0)</f>
        <v>0</v>
      </c>
      <c r="S169" s="17">
        <f>+IF(AND(S10&gt;0,S10&gt;Tablas!$AG$20,S10&lt;=Tablas!$AG$21),VLOOKUP(S10,Tablas!$AE$28:$AF$258,2),0)</f>
        <v>0</v>
      </c>
      <c r="T169" s="17">
        <f>+IF(AND(T10&gt;0,T10&gt;Tablas!$AG$20,T10&lt;=Tablas!$AG$21),VLOOKUP(T10,Tablas!$AE$28:$AF$258,2),0)</f>
        <v>0</v>
      </c>
      <c r="U169" s="17">
        <f>+IF(AND(U10&gt;0,U10&gt;Tablas!$AG$20,U10&lt;=Tablas!$AG$21),VLOOKUP(U10,Tablas!$AE$28:$AF$258,2),0)</f>
        <v>0</v>
      </c>
      <c r="V169" s="192"/>
      <c r="W169" s="135"/>
      <c r="X169" s="40"/>
      <c r="Y169" s="29"/>
      <c r="Z169" s="29"/>
      <c r="AA169" s="22"/>
      <c r="AB169" s="22"/>
      <c r="AC169" s="22"/>
      <c r="AD169" s="22"/>
      <c r="AE169" s="22"/>
      <c r="AF169" s="22"/>
      <c r="AG169" s="22"/>
    </row>
    <row r="170" spans="1:33" x14ac:dyDescent="0.2">
      <c r="A170" s="169" t="s">
        <v>105</v>
      </c>
      <c r="B170" s="43"/>
      <c r="C170" s="43"/>
      <c r="D170" s="43"/>
      <c r="E170" s="8" t="s">
        <v>28</v>
      </c>
      <c r="F170" s="61" t="s">
        <v>24</v>
      </c>
      <c r="G170" s="183"/>
      <c r="H170" s="17">
        <f>IF(H160&lt;0,0,IF(H160&gt;SUM(H162:H169),SUM(H162:H169),H160))</f>
        <v>0</v>
      </c>
      <c r="I170" s="17">
        <f t="shared" ref="I170:U170" si="82">IF(I160&lt;0,0,IF(I160&gt;SUM(I162:I169),SUM(I162:I169),I160))</f>
        <v>0</v>
      </c>
      <c r="J170" s="17">
        <f t="shared" si="82"/>
        <v>0</v>
      </c>
      <c r="K170" s="17">
        <f t="shared" si="82"/>
        <v>0</v>
      </c>
      <c r="L170" s="17">
        <f t="shared" si="82"/>
        <v>0</v>
      </c>
      <c r="M170" s="17">
        <f t="shared" si="82"/>
        <v>0</v>
      </c>
      <c r="N170" s="17">
        <f t="shared" si="82"/>
        <v>0</v>
      </c>
      <c r="O170" s="17">
        <f t="shared" si="82"/>
        <v>0</v>
      </c>
      <c r="P170" s="17">
        <f t="shared" si="82"/>
        <v>0</v>
      </c>
      <c r="Q170" s="17">
        <f t="shared" si="82"/>
        <v>0</v>
      </c>
      <c r="R170" s="17">
        <f t="shared" si="82"/>
        <v>0</v>
      </c>
      <c r="S170" s="17">
        <f t="shared" si="82"/>
        <v>0</v>
      </c>
      <c r="T170" s="17">
        <f t="shared" si="82"/>
        <v>0</v>
      </c>
      <c r="U170" s="17">
        <f t="shared" si="82"/>
        <v>0</v>
      </c>
      <c r="V170" s="138">
        <f>+SUM(V162:V169)</f>
        <v>972534.74</v>
      </c>
      <c r="W170" s="135"/>
      <c r="X170" s="29"/>
      <c r="Y170" s="29"/>
      <c r="Z170" s="29"/>
      <c r="AA170" s="22"/>
      <c r="AB170" s="22"/>
      <c r="AC170" s="22"/>
      <c r="AD170" s="22"/>
      <c r="AE170" s="22"/>
      <c r="AF170" s="22"/>
      <c r="AG170" s="22"/>
    </row>
    <row r="171" spans="1:33" x14ac:dyDescent="0.2">
      <c r="A171" s="169" t="s">
        <v>105</v>
      </c>
      <c r="B171" s="43"/>
      <c r="C171" s="43"/>
      <c r="D171" s="43"/>
      <c r="E171" s="197"/>
      <c r="F171" s="46"/>
      <c r="G171" s="188"/>
      <c r="H171" s="47"/>
      <c r="I171" s="47"/>
      <c r="J171" s="47"/>
      <c r="K171" s="47"/>
      <c r="L171" s="47"/>
      <c r="M171" s="47"/>
      <c r="N171" s="47"/>
      <c r="O171" s="47"/>
      <c r="P171" s="47"/>
      <c r="Q171" s="47"/>
      <c r="R171" s="47"/>
      <c r="S171" s="47"/>
      <c r="T171" s="47"/>
      <c r="U171" s="47"/>
      <c r="V171" s="143"/>
      <c r="W171" s="135"/>
      <c r="X171" s="29"/>
      <c r="Y171" s="29"/>
      <c r="Z171" s="29"/>
      <c r="AA171" s="22"/>
      <c r="AB171" s="22"/>
      <c r="AC171" s="22"/>
      <c r="AD171" s="22"/>
      <c r="AE171" s="22"/>
      <c r="AF171" s="22"/>
      <c r="AG171" s="22"/>
    </row>
    <row r="172" spans="1:33" x14ac:dyDescent="0.2">
      <c r="A172" s="169" t="s">
        <v>105</v>
      </c>
      <c r="B172" s="309" t="s">
        <v>274</v>
      </c>
      <c r="C172" s="309"/>
      <c r="D172" s="309"/>
      <c r="E172" s="309"/>
      <c r="F172" s="61" t="s">
        <v>24</v>
      </c>
      <c r="G172" s="188"/>
      <c r="H172" s="17">
        <f>IF(H160-H170&lt;0,0,H160-H170)</f>
        <v>0</v>
      </c>
      <c r="I172" s="17">
        <f t="shared" ref="I172:U172" si="83">IF(I160-I170&lt;0,0,I160-I170)</f>
        <v>0</v>
      </c>
      <c r="J172" s="17">
        <f t="shared" si="83"/>
        <v>0</v>
      </c>
      <c r="K172" s="17">
        <f t="shared" si="83"/>
        <v>0</v>
      </c>
      <c r="L172" s="17">
        <f t="shared" si="83"/>
        <v>0</v>
      </c>
      <c r="M172" s="17">
        <f t="shared" si="83"/>
        <v>0</v>
      </c>
      <c r="N172" s="17">
        <f t="shared" si="83"/>
        <v>0</v>
      </c>
      <c r="O172" s="17">
        <f t="shared" si="83"/>
        <v>0</v>
      </c>
      <c r="P172" s="17">
        <f t="shared" si="83"/>
        <v>0</v>
      </c>
      <c r="Q172" s="17">
        <f t="shared" si="83"/>
        <v>0</v>
      </c>
      <c r="R172" s="17">
        <f t="shared" si="83"/>
        <v>0</v>
      </c>
      <c r="S172" s="17">
        <f t="shared" si="83"/>
        <v>0</v>
      </c>
      <c r="T172" s="17">
        <f t="shared" si="83"/>
        <v>0</v>
      </c>
      <c r="U172" s="17">
        <f t="shared" si="83"/>
        <v>0</v>
      </c>
      <c r="V172" s="47"/>
      <c r="W172" s="135"/>
      <c r="X172" s="29"/>
      <c r="Y172" s="29"/>
      <c r="Z172" s="29"/>
      <c r="AA172" s="22"/>
      <c r="AB172" s="22"/>
      <c r="AC172" s="22"/>
      <c r="AD172" s="22"/>
      <c r="AE172" s="22"/>
      <c r="AF172" s="22"/>
      <c r="AG172" s="22"/>
    </row>
    <row r="173" spans="1:33" x14ac:dyDescent="0.2">
      <c r="A173" s="169" t="s">
        <v>105</v>
      </c>
      <c r="B173" s="309" t="s">
        <v>272</v>
      </c>
      <c r="C173" s="310"/>
      <c r="D173" s="310"/>
      <c r="E173" s="310"/>
      <c r="F173" s="61" t="s">
        <v>24</v>
      </c>
      <c r="G173" s="183"/>
      <c r="H173" s="41">
        <f t="shared" ref="H173:U173" si="84">+IF(H170&gt;H158,0,H158-H170)</f>
        <v>0</v>
      </c>
      <c r="I173" s="41">
        <f t="shared" si="84"/>
        <v>0</v>
      </c>
      <c r="J173" s="41">
        <f t="shared" si="84"/>
        <v>0</v>
      </c>
      <c r="K173" s="41">
        <f t="shared" si="84"/>
        <v>0</v>
      </c>
      <c r="L173" s="41">
        <f t="shared" si="84"/>
        <v>0</v>
      </c>
      <c r="M173" s="41">
        <f t="shared" si="84"/>
        <v>0</v>
      </c>
      <c r="N173" s="41">
        <f t="shared" si="84"/>
        <v>0</v>
      </c>
      <c r="O173" s="41">
        <f t="shared" si="84"/>
        <v>0</v>
      </c>
      <c r="P173" s="41">
        <f t="shared" si="84"/>
        <v>0</v>
      </c>
      <c r="Q173" s="41">
        <f t="shared" si="84"/>
        <v>0</v>
      </c>
      <c r="R173" s="41">
        <f t="shared" si="84"/>
        <v>0</v>
      </c>
      <c r="S173" s="41">
        <f t="shared" si="84"/>
        <v>0</v>
      </c>
      <c r="T173" s="41">
        <f t="shared" si="84"/>
        <v>0</v>
      </c>
      <c r="U173" s="41">
        <f t="shared" si="84"/>
        <v>0</v>
      </c>
      <c r="V173" s="151">
        <f>IF(V158&gt;V170,V158-V170,0)</f>
        <v>0</v>
      </c>
      <c r="W173" s="135"/>
      <c r="X173" s="29"/>
      <c r="Y173" s="29"/>
      <c r="Z173" s="29"/>
      <c r="AA173" s="22"/>
      <c r="AB173" s="22"/>
      <c r="AC173" s="22"/>
      <c r="AD173" s="22"/>
      <c r="AE173" s="22"/>
      <c r="AF173" s="22"/>
      <c r="AG173" s="22"/>
    </row>
    <row r="174" spans="1:33" x14ac:dyDescent="0.2">
      <c r="A174" s="170" t="s">
        <v>105</v>
      </c>
      <c r="B174" s="311" t="s">
        <v>275</v>
      </c>
      <c r="C174" s="298"/>
      <c r="D174" s="298"/>
      <c r="E174" s="299"/>
      <c r="F174" s="61" t="s">
        <v>24</v>
      </c>
      <c r="G174" s="184"/>
      <c r="H174" s="198">
        <f t="shared" ref="H174:U174" si="85">IF(H$6&lt;&gt;"",VLOOKUP(H$173,CHOOSE(H$1,enero,febre,marzo,abril,mayo,junio,julio,agost,septi,octub,novie,diciem),3),0)</f>
        <v>0</v>
      </c>
      <c r="I174" s="198">
        <f t="shared" si="85"/>
        <v>0</v>
      </c>
      <c r="J174" s="198">
        <f t="shared" si="85"/>
        <v>0</v>
      </c>
      <c r="K174" s="198">
        <f t="shared" si="85"/>
        <v>0</v>
      </c>
      <c r="L174" s="198">
        <f t="shared" si="85"/>
        <v>0</v>
      </c>
      <c r="M174" s="198">
        <f t="shared" si="85"/>
        <v>0</v>
      </c>
      <c r="N174" s="198">
        <f t="shared" si="85"/>
        <v>0</v>
      </c>
      <c r="O174" s="198">
        <f t="shared" si="85"/>
        <v>0</v>
      </c>
      <c r="P174" s="198">
        <f t="shared" si="85"/>
        <v>0</v>
      </c>
      <c r="Q174" s="198">
        <f t="shared" si="85"/>
        <v>0</v>
      </c>
      <c r="R174" s="198">
        <f t="shared" si="85"/>
        <v>0</v>
      </c>
      <c r="S174" s="198">
        <f t="shared" si="85"/>
        <v>0</v>
      </c>
      <c r="T174" s="198">
        <f t="shared" si="85"/>
        <v>0</v>
      </c>
      <c r="U174" s="198">
        <f t="shared" si="85"/>
        <v>0</v>
      </c>
      <c r="V174" s="198"/>
      <c r="W174" s="135"/>
      <c r="X174" s="29"/>
      <c r="Y174" s="29"/>
      <c r="Z174" s="29"/>
      <c r="AA174" s="22"/>
      <c r="AB174" s="22"/>
      <c r="AC174" s="22"/>
      <c r="AD174" s="22"/>
      <c r="AE174" s="22"/>
      <c r="AF174" s="22"/>
      <c r="AG174" s="22"/>
    </row>
    <row r="175" spans="1:33" x14ac:dyDescent="0.2">
      <c r="A175" s="169" t="s">
        <v>105</v>
      </c>
      <c r="B175" s="43"/>
      <c r="C175" s="43"/>
      <c r="D175" s="43"/>
      <c r="E175" s="27"/>
      <c r="F175" s="184"/>
      <c r="G175" s="184"/>
      <c r="H175" s="195"/>
      <c r="I175" s="195"/>
      <c r="J175" s="195"/>
      <c r="K175" s="195"/>
      <c r="L175" s="195"/>
      <c r="M175" s="195"/>
      <c r="N175" s="195"/>
      <c r="O175" s="195"/>
      <c r="P175" s="195"/>
      <c r="Q175" s="195"/>
      <c r="R175" s="195"/>
      <c r="S175" s="195"/>
      <c r="T175" s="195"/>
      <c r="U175" s="195"/>
      <c r="V175" s="195"/>
      <c r="W175" s="135"/>
      <c r="X175" s="29"/>
      <c r="Y175" s="29"/>
      <c r="Z175" s="29"/>
      <c r="AA175" s="22"/>
      <c r="AB175" s="22"/>
      <c r="AC175" s="22"/>
      <c r="AD175" s="22"/>
      <c r="AE175" s="22"/>
      <c r="AF175" s="22"/>
      <c r="AG175" s="22"/>
    </row>
    <row r="176" spans="1:33" x14ac:dyDescent="0.2">
      <c r="A176" s="169" t="s">
        <v>105</v>
      </c>
      <c r="B176" s="43"/>
      <c r="C176" s="43"/>
      <c r="D176" s="43"/>
      <c r="E176" s="52" t="s">
        <v>98</v>
      </c>
      <c r="F176" s="53" t="s">
        <v>24</v>
      </c>
      <c r="G176" s="190"/>
      <c r="H176" s="17">
        <f t="shared" ref="H176:U176" si="86">IF(H$6&lt;&gt;"",VLOOKUP(H$173,CHOOSE(H$1,enero,febre,marzo,abril,mayo,junio,julio,agost,septi,octub,novie,diciem),2,TRUE)+(H$173-VLOOKUP(H173,CHOOSE(H$1,enero,febre,marzo,abril,mayo,junio,julio,agost,septi,octub,novie,diciem),1,TRUE))*VLOOKUP(H$173,CHOOSE(H$1,enero,febre,marzo,abril,mayo,junio,julio,agost,septi,octub,novie,diciem),3),0)</f>
        <v>0</v>
      </c>
      <c r="I176" s="17">
        <f t="shared" si="86"/>
        <v>0</v>
      </c>
      <c r="J176" s="17">
        <f t="shared" si="86"/>
        <v>0</v>
      </c>
      <c r="K176" s="17">
        <f t="shared" si="86"/>
        <v>0</v>
      </c>
      <c r="L176" s="17">
        <f t="shared" si="86"/>
        <v>0</v>
      </c>
      <c r="M176" s="17">
        <f t="shared" si="86"/>
        <v>0</v>
      </c>
      <c r="N176" s="17">
        <f t="shared" si="86"/>
        <v>0</v>
      </c>
      <c r="O176" s="17">
        <f t="shared" si="86"/>
        <v>0</v>
      </c>
      <c r="P176" s="17">
        <f t="shared" si="86"/>
        <v>0</v>
      </c>
      <c r="Q176" s="17">
        <f t="shared" si="86"/>
        <v>0</v>
      </c>
      <c r="R176" s="17">
        <f t="shared" si="86"/>
        <v>0</v>
      </c>
      <c r="S176" s="17">
        <f t="shared" si="86"/>
        <v>0</v>
      </c>
      <c r="T176" s="17">
        <f t="shared" si="86"/>
        <v>0</v>
      </c>
      <c r="U176" s="17">
        <f t="shared" si="86"/>
        <v>0</v>
      </c>
      <c r="V176" s="138">
        <f>+ROUND(VLOOKUP(V173,diciem,2)+(V173-VLOOKUP(V173,diciem,1))*VLOOKUP(V173,diciem,3),2)</f>
        <v>0</v>
      </c>
      <c r="W176" s="135"/>
      <c r="X176" s="29"/>
      <c r="Y176" s="29"/>
      <c r="Z176" s="29"/>
      <c r="AA176" s="22"/>
      <c r="AB176" s="22"/>
      <c r="AC176" s="22"/>
      <c r="AD176" s="22"/>
      <c r="AE176" s="22"/>
      <c r="AF176" s="22"/>
      <c r="AG176" s="22"/>
    </row>
    <row r="177" spans="1:33" x14ac:dyDescent="0.2">
      <c r="A177" s="169" t="s">
        <v>105</v>
      </c>
      <c r="B177" s="43"/>
      <c r="C177" s="43"/>
      <c r="D177" s="43"/>
      <c r="E177" s="99" t="s">
        <v>208</v>
      </c>
      <c r="F177" s="53" t="s">
        <v>24</v>
      </c>
      <c r="G177" s="190"/>
      <c r="H177" s="17">
        <f t="shared" ref="H177:U177" si="87">+IF(H11&lt;&gt;"NO",ROUND(H159*H174,2),0)</f>
        <v>0</v>
      </c>
      <c r="I177" s="17">
        <f t="shared" si="87"/>
        <v>0</v>
      </c>
      <c r="J177" s="17">
        <f t="shared" si="87"/>
        <v>0</v>
      </c>
      <c r="K177" s="17">
        <f t="shared" si="87"/>
        <v>0</v>
      </c>
      <c r="L177" s="17">
        <f t="shared" si="87"/>
        <v>0</v>
      </c>
      <c r="M177" s="17">
        <f t="shared" si="87"/>
        <v>0</v>
      </c>
      <c r="N177" s="17">
        <f t="shared" si="87"/>
        <v>0</v>
      </c>
      <c r="O177" s="17">
        <f t="shared" si="87"/>
        <v>0</v>
      </c>
      <c r="P177" s="17">
        <f t="shared" si="87"/>
        <v>0</v>
      </c>
      <c r="Q177" s="17">
        <f t="shared" si="87"/>
        <v>0</v>
      </c>
      <c r="R177" s="17">
        <f t="shared" si="87"/>
        <v>0</v>
      </c>
      <c r="S177" s="17">
        <f t="shared" si="87"/>
        <v>0</v>
      </c>
      <c r="T177" s="17">
        <f t="shared" si="87"/>
        <v>0</v>
      </c>
      <c r="U177" s="17">
        <f t="shared" si="87"/>
        <v>0</v>
      </c>
      <c r="V177" s="138">
        <f>+ROUND(VLOOKUP(V173,diciem,3)*V159,2)</f>
        <v>0</v>
      </c>
      <c r="W177" s="135"/>
      <c r="X177" s="29"/>
      <c r="Y177" s="29"/>
      <c r="Z177" s="29"/>
      <c r="AA177" s="22"/>
      <c r="AB177" s="22"/>
      <c r="AC177" s="22"/>
      <c r="AD177" s="22"/>
      <c r="AE177" s="22"/>
      <c r="AF177" s="22"/>
      <c r="AG177" s="22"/>
    </row>
    <row r="178" spans="1:33" x14ac:dyDescent="0.2">
      <c r="A178" s="169" t="s">
        <v>105</v>
      </c>
      <c r="B178" s="43"/>
      <c r="C178" s="43"/>
      <c r="D178" s="43"/>
      <c r="E178" s="52" t="s">
        <v>97</v>
      </c>
      <c r="F178" s="53" t="s">
        <v>24</v>
      </c>
      <c r="G178" s="157"/>
      <c r="H178" s="54">
        <f>+H176+H177</f>
        <v>0</v>
      </c>
      <c r="I178" s="54">
        <f>+I176+I177</f>
        <v>0</v>
      </c>
      <c r="J178" s="54">
        <f t="shared" ref="J178:V178" si="88">+J176+J177</f>
        <v>0</v>
      </c>
      <c r="K178" s="54">
        <f t="shared" si="88"/>
        <v>0</v>
      </c>
      <c r="L178" s="54">
        <f t="shared" si="88"/>
        <v>0</v>
      </c>
      <c r="M178" s="54">
        <f t="shared" si="88"/>
        <v>0</v>
      </c>
      <c r="N178" s="54">
        <f t="shared" si="88"/>
        <v>0</v>
      </c>
      <c r="O178" s="54">
        <f t="shared" si="88"/>
        <v>0</v>
      </c>
      <c r="P178" s="54">
        <f t="shared" si="88"/>
        <v>0</v>
      </c>
      <c r="Q178" s="54">
        <f t="shared" si="88"/>
        <v>0</v>
      </c>
      <c r="R178" s="54">
        <f t="shared" si="88"/>
        <v>0</v>
      </c>
      <c r="S178" s="54">
        <f t="shared" si="88"/>
        <v>0</v>
      </c>
      <c r="T178" s="54">
        <f t="shared" si="88"/>
        <v>0</v>
      </c>
      <c r="U178" s="54">
        <f t="shared" si="88"/>
        <v>0</v>
      </c>
      <c r="V178" s="138">
        <f t="shared" si="88"/>
        <v>0</v>
      </c>
      <c r="W178" s="135"/>
      <c r="X178" s="29"/>
      <c r="Y178" s="29"/>
      <c r="Z178" s="29"/>
      <c r="AA178" s="22"/>
      <c r="AB178" s="22"/>
      <c r="AC178" s="22"/>
      <c r="AD178" s="22"/>
      <c r="AE178" s="22"/>
      <c r="AF178" s="22"/>
      <c r="AG178" s="22"/>
    </row>
    <row r="179" spans="1:33" x14ac:dyDescent="0.2">
      <c r="A179" s="169" t="s">
        <v>105</v>
      </c>
      <c r="B179" s="43"/>
      <c r="C179" s="43"/>
      <c r="D179" s="43"/>
      <c r="E179" s="52" t="s">
        <v>75</v>
      </c>
      <c r="F179" s="55" t="s">
        <v>78</v>
      </c>
      <c r="G179" s="157"/>
      <c r="H179" s="109"/>
      <c r="I179" s="109"/>
      <c r="J179" s="109"/>
      <c r="K179" s="109"/>
      <c r="L179" s="109"/>
      <c r="M179" s="109"/>
      <c r="N179" s="109"/>
      <c r="O179" s="109"/>
      <c r="P179" s="109"/>
      <c r="Q179" s="109"/>
      <c r="R179" s="109"/>
      <c r="S179" s="109"/>
      <c r="T179" s="109"/>
      <c r="U179" s="109"/>
      <c r="V179" s="147"/>
      <c r="W179" s="135"/>
      <c r="X179" s="29"/>
      <c r="Y179" s="29"/>
      <c r="Z179" s="29"/>
      <c r="AA179" s="22"/>
      <c r="AB179" s="22"/>
      <c r="AC179" s="22"/>
      <c r="AD179" s="22"/>
      <c r="AE179" s="22"/>
      <c r="AF179" s="22"/>
      <c r="AG179" s="22"/>
    </row>
    <row r="180" spans="1:33" x14ac:dyDescent="0.2">
      <c r="A180" s="169" t="s">
        <v>105</v>
      </c>
      <c r="B180" s="43"/>
      <c r="C180" s="43"/>
      <c r="D180" s="43"/>
      <c r="E180" s="52" t="s">
        <v>80</v>
      </c>
      <c r="F180" s="55" t="s">
        <v>78</v>
      </c>
      <c r="G180" s="157"/>
      <c r="H180" s="110"/>
      <c r="I180" s="110"/>
      <c r="J180" s="110"/>
      <c r="K180" s="110"/>
      <c r="L180" s="110"/>
      <c r="M180" s="110"/>
      <c r="N180" s="110"/>
      <c r="O180" s="110"/>
      <c r="P180" s="110"/>
      <c r="Q180" s="110"/>
      <c r="R180" s="110"/>
      <c r="S180" s="110"/>
      <c r="T180" s="110"/>
      <c r="U180" s="110"/>
      <c r="V180" s="147"/>
      <c r="W180" s="135"/>
      <c r="X180" s="29"/>
      <c r="Y180" s="29"/>
      <c r="Z180" s="29"/>
      <c r="AA180" s="22"/>
      <c r="AB180" s="22"/>
      <c r="AC180" s="22"/>
      <c r="AD180" s="22"/>
      <c r="AE180" s="22"/>
      <c r="AF180" s="22"/>
      <c r="AG180" s="22"/>
    </row>
    <row r="181" spans="1:33" x14ac:dyDescent="0.2">
      <c r="A181" s="169" t="s">
        <v>105</v>
      </c>
      <c r="B181" s="43"/>
      <c r="C181" s="43"/>
      <c r="D181" s="43"/>
      <c r="E181" s="52" t="s">
        <v>81</v>
      </c>
      <c r="F181" s="55" t="s">
        <v>24</v>
      </c>
      <c r="G181" s="157"/>
      <c r="H181" s="111"/>
      <c r="I181" s="111"/>
      <c r="J181" s="111"/>
      <c r="K181" s="111"/>
      <c r="L181" s="111"/>
      <c r="M181" s="111"/>
      <c r="N181" s="111"/>
      <c r="O181" s="111"/>
      <c r="P181" s="111"/>
      <c r="Q181" s="111"/>
      <c r="R181" s="111"/>
      <c r="S181" s="111"/>
      <c r="T181" s="111"/>
      <c r="U181" s="111"/>
      <c r="V181" s="138">
        <f>+IF(V179+V180&gt;V176,0,V176-V179-V180)</f>
        <v>0</v>
      </c>
      <c r="W181" s="135"/>
      <c r="X181" s="29"/>
      <c r="Y181" s="29"/>
      <c r="Z181" s="29"/>
      <c r="AA181" s="22"/>
      <c r="AB181" s="22"/>
      <c r="AC181" s="22"/>
      <c r="AD181" s="22"/>
      <c r="AE181" s="22"/>
      <c r="AF181" s="22"/>
      <c r="AG181" s="22"/>
    </row>
    <row r="182" spans="1:33" x14ac:dyDescent="0.2">
      <c r="A182" s="169" t="s">
        <v>105</v>
      </c>
      <c r="B182" s="43"/>
      <c r="C182" s="43"/>
      <c r="D182" s="43"/>
      <c r="E182" s="52" t="s">
        <v>76</v>
      </c>
      <c r="F182" s="53" t="s">
        <v>24</v>
      </c>
      <c r="G182" s="190"/>
      <c r="H182" s="17">
        <v>0</v>
      </c>
      <c r="I182" s="17">
        <f>+IF(I6&lt;&gt;"",SUM($H$193:H193),0)</f>
        <v>0</v>
      </c>
      <c r="J182" s="17">
        <f>+IF(J6&lt;&gt;"",SUM($H$193:I193),0)</f>
        <v>0</v>
      </c>
      <c r="K182" s="17">
        <f>+IF(K6&lt;&gt;"",SUM($H$193:J193),0)</f>
        <v>0</v>
      </c>
      <c r="L182" s="17">
        <f>+IF(L6&lt;&gt;"",SUM($H$193:K193),0)</f>
        <v>0</v>
      </c>
      <c r="M182" s="17">
        <f>+IF(M6&lt;&gt;"",SUM($H$193:L193),0)</f>
        <v>0</v>
      </c>
      <c r="N182" s="17">
        <f>+IF(N6&lt;&gt;"",SUM($H$193:M193),0)</f>
        <v>0</v>
      </c>
      <c r="O182" s="17">
        <f>+IF(O6&lt;&gt;"",SUM($H$193:N193),0)</f>
        <v>0</v>
      </c>
      <c r="P182" s="17">
        <f>+IF(P6&lt;&gt;"",SUM($H$193:O193),0)</f>
        <v>0</v>
      </c>
      <c r="Q182" s="17">
        <f>+IF(Q6&lt;&gt;"",SUM($H$193:P193),0)</f>
        <v>0</v>
      </c>
      <c r="R182" s="17">
        <f>+IF(R6&lt;&gt;"",SUM($H$193:Q193),0)</f>
        <v>0</v>
      </c>
      <c r="S182" s="17">
        <f>+IF(S6&lt;&gt;"",SUM($H$193:R193),0)</f>
        <v>0</v>
      </c>
      <c r="T182" s="17">
        <f>+IF(T6&lt;&gt;"",SUM($H$193:S193),0)</f>
        <v>0</v>
      </c>
      <c r="U182" s="17">
        <f>+IF(U6&lt;&gt;"",SUM($H$193:T193),0)</f>
        <v>0</v>
      </c>
      <c r="V182" s="138">
        <f>+IF(V6&lt;&gt;"",SUM($H$193:U193),0)</f>
        <v>0</v>
      </c>
      <c r="W182" s="135"/>
      <c r="X182" s="29"/>
      <c r="Y182" s="29"/>
      <c r="Z182" s="29"/>
      <c r="AA182" s="22"/>
      <c r="AB182" s="22"/>
      <c r="AC182" s="22"/>
      <c r="AD182" s="22"/>
      <c r="AE182" s="22"/>
      <c r="AF182" s="22"/>
      <c r="AG182" s="22"/>
    </row>
    <row r="183" spans="1:33" x14ac:dyDescent="0.2">
      <c r="A183" s="169" t="s">
        <v>105</v>
      </c>
      <c r="B183" s="43"/>
      <c r="C183" s="43"/>
      <c r="D183" s="43"/>
      <c r="E183" s="52" t="s">
        <v>37</v>
      </c>
      <c r="F183" s="53" t="s">
        <v>24</v>
      </c>
      <c r="G183" s="190"/>
      <c r="H183" s="17">
        <f>+H178</f>
        <v>0</v>
      </c>
      <c r="I183" s="17">
        <f t="shared" ref="I183:U183" si="89">+I178-I182</f>
        <v>0</v>
      </c>
      <c r="J183" s="17">
        <f t="shared" si="89"/>
        <v>0</v>
      </c>
      <c r="K183" s="17">
        <f t="shared" si="89"/>
        <v>0</v>
      </c>
      <c r="L183" s="17">
        <f t="shared" si="89"/>
        <v>0</v>
      </c>
      <c r="M183" s="17">
        <f t="shared" si="89"/>
        <v>0</v>
      </c>
      <c r="N183" s="17">
        <f t="shared" si="89"/>
        <v>0</v>
      </c>
      <c r="O183" s="17">
        <f t="shared" si="89"/>
        <v>0</v>
      </c>
      <c r="P183" s="17">
        <f t="shared" si="89"/>
        <v>0</v>
      </c>
      <c r="Q183" s="17">
        <f t="shared" si="89"/>
        <v>0</v>
      </c>
      <c r="R183" s="17">
        <f t="shared" si="89"/>
        <v>0</v>
      </c>
      <c r="S183" s="17">
        <f t="shared" si="89"/>
        <v>0</v>
      </c>
      <c r="T183" s="17">
        <f t="shared" si="89"/>
        <v>0</v>
      </c>
      <c r="U183" s="17">
        <f t="shared" si="89"/>
        <v>0</v>
      </c>
      <c r="V183" s="151">
        <f>+V181-V182</f>
        <v>0</v>
      </c>
      <c r="W183" s="135"/>
      <c r="X183" s="29"/>
      <c r="Y183" s="29"/>
      <c r="Z183" s="29"/>
      <c r="AA183" s="22"/>
      <c r="AB183" s="22"/>
      <c r="AC183" s="22"/>
      <c r="AD183" s="22"/>
      <c r="AE183" s="22"/>
      <c r="AF183" s="22"/>
      <c r="AG183" s="22"/>
    </row>
    <row r="184" spans="1:33" x14ac:dyDescent="0.2">
      <c r="A184" s="169" t="s">
        <v>105</v>
      </c>
      <c r="B184" s="43"/>
      <c r="C184" s="43"/>
      <c r="D184" s="43"/>
      <c r="E184" s="52" t="s">
        <v>51</v>
      </c>
      <c r="F184" s="53" t="s">
        <v>24</v>
      </c>
      <c r="G184" s="190"/>
      <c r="H184" s="17">
        <f t="shared" ref="H184:U184" si="90">+H25+H33+H53+H61</f>
        <v>0</v>
      </c>
      <c r="I184" s="17">
        <f t="shared" si="90"/>
        <v>0</v>
      </c>
      <c r="J184" s="17">
        <f t="shared" si="90"/>
        <v>0</v>
      </c>
      <c r="K184" s="17">
        <f t="shared" si="90"/>
        <v>0</v>
      </c>
      <c r="L184" s="17">
        <f t="shared" si="90"/>
        <v>0</v>
      </c>
      <c r="M184" s="17">
        <f t="shared" si="90"/>
        <v>0</v>
      </c>
      <c r="N184" s="17">
        <f t="shared" si="90"/>
        <v>0</v>
      </c>
      <c r="O184" s="17">
        <f t="shared" si="90"/>
        <v>0</v>
      </c>
      <c r="P184" s="17">
        <f t="shared" si="90"/>
        <v>0</v>
      </c>
      <c r="Q184" s="17">
        <f t="shared" si="90"/>
        <v>0</v>
      </c>
      <c r="R184" s="17">
        <f t="shared" si="90"/>
        <v>0</v>
      </c>
      <c r="S184" s="17">
        <f t="shared" si="90"/>
        <v>0</v>
      </c>
      <c r="T184" s="17">
        <f t="shared" si="90"/>
        <v>0</v>
      </c>
      <c r="U184" s="17">
        <f t="shared" si="90"/>
        <v>0</v>
      </c>
      <c r="V184" s="144"/>
      <c r="W184" s="135"/>
      <c r="X184" s="29"/>
      <c r="Y184" s="29"/>
      <c r="Z184" s="29"/>
      <c r="AA184" s="22"/>
      <c r="AB184" s="22"/>
      <c r="AC184" s="22"/>
      <c r="AD184" s="22"/>
      <c r="AE184" s="22"/>
      <c r="AF184" s="22"/>
      <c r="AG184" s="22"/>
    </row>
    <row r="185" spans="1:33" x14ac:dyDescent="0.2">
      <c r="A185" s="170" t="s">
        <v>105</v>
      </c>
      <c r="B185" s="43"/>
      <c r="C185" s="43"/>
      <c r="D185" s="43"/>
      <c r="E185" s="52" t="s">
        <v>52</v>
      </c>
      <c r="F185" s="53" t="s">
        <v>24</v>
      </c>
      <c r="G185" s="190"/>
      <c r="H185" s="17">
        <v>0.35</v>
      </c>
      <c r="I185" s="17">
        <v>0.35</v>
      </c>
      <c r="J185" s="17">
        <v>0.35</v>
      </c>
      <c r="K185" s="17">
        <v>0.35</v>
      </c>
      <c r="L185" s="17">
        <v>0.35</v>
      </c>
      <c r="M185" s="17">
        <v>0.35</v>
      </c>
      <c r="N185" s="17">
        <v>0.35</v>
      </c>
      <c r="O185" s="17">
        <v>0.35</v>
      </c>
      <c r="P185" s="17">
        <v>0.35</v>
      </c>
      <c r="Q185" s="17">
        <v>0.35</v>
      </c>
      <c r="R185" s="17">
        <v>0.35</v>
      </c>
      <c r="S185" s="17">
        <v>0.35</v>
      </c>
      <c r="T185" s="17">
        <v>0.35</v>
      </c>
      <c r="U185" s="17">
        <v>0.35</v>
      </c>
      <c r="V185" s="152"/>
      <c r="W185" s="135"/>
      <c r="X185" s="29"/>
      <c r="Y185" s="29"/>
      <c r="Z185" s="29"/>
      <c r="AA185" s="22"/>
      <c r="AB185" s="22"/>
      <c r="AC185" s="22"/>
      <c r="AD185" s="22"/>
      <c r="AE185" s="22"/>
      <c r="AF185" s="22"/>
      <c r="AG185" s="22"/>
    </row>
    <row r="186" spans="1:33" x14ac:dyDescent="0.2">
      <c r="A186" s="170" t="s">
        <v>105</v>
      </c>
      <c r="B186" s="43"/>
      <c r="C186" s="43"/>
      <c r="D186" s="43"/>
      <c r="E186" s="52" t="s">
        <v>82</v>
      </c>
      <c r="F186" s="53" t="s">
        <v>24</v>
      </c>
      <c r="G186" s="190"/>
      <c r="H186" s="17">
        <f>+ROUND(H184*H185,2)</f>
        <v>0</v>
      </c>
      <c r="I186" s="17">
        <f t="shared" ref="I186:U186" si="91">IF(I184&gt;0,ROUND(I184*I185,2),0)</f>
        <v>0</v>
      </c>
      <c r="J186" s="17">
        <f t="shared" si="91"/>
        <v>0</v>
      </c>
      <c r="K186" s="17">
        <f t="shared" si="91"/>
        <v>0</v>
      </c>
      <c r="L186" s="17">
        <f t="shared" si="91"/>
        <v>0</v>
      </c>
      <c r="M186" s="17">
        <f t="shared" si="91"/>
        <v>0</v>
      </c>
      <c r="N186" s="17">
        <f t="shared" si="91"/>
        <v>0</v>
      </c>
      <c r="O186" s="17">
        <f t="shared" si="91"/>
        <v>0</v>
      </c>
      <c r="P186" s="17">
        <f t="shared" si="91"/>
        <v>0</v>
      </c>
      <c r="Q186" s="17">
        <f t="shared" si="91"/>
        <v>0</v>
      </c>
      <c r="R186" s="17">
        <f t="shared" si="91"/>
        <v>0</v>
      </c>
      <c r="S186" s="17">
        <f t="shared" si="91"/>
        <v>0</v>
      </c>
      <c r="T186" s="17">
        <f t="shared" si="91"/>
        <v>0</v>
      </c>
      <c r="U186" s="17">
        <f t="shared" si="91"/>
        <v>0</v>
      </c>
      <c r="V186" s="145"/>
      <c r="W186" s="135"/>
      <c r="X186" s="29"/>
      <c r="Y186" s="29"/>
      <c r="Z186" s="29"/>
      <c r="AA186" s="22"/>
      <c r="AB186" s="22"/>
      <c r="AC186" s="22"/>
      <c r="AD186" s="22"/>
      <c r="AE186" s="22"/>
      <c r="AF186" s="22"/>
      <c r="AG186" s="22"/>
    </row>
    <row r="187" spans="1:33" x14ac:dyDescent="0.2">
      <c r="A187" s="169" t="s">
        <v>105</v>
      </c>
      <c r="B187" s="43"/>
      <c r="C187" s="43"/>
      <c r="D187" s="43"/>
      <c r="E187" s="56" t="s">
        <v>385</v>
      </c>
      <c r="F187" s="53" t="s">
        <v>24</v>
      </c>
      <c r="G187" s="190"/>
      <c r="H187" s="41">
        <f>+MIN(H183,H186)</f>
        <v>0</v>
      </c>
      <c r="I187" s="41">
        <f t="shared" ref="I187:U187" si="92">+IF(I183&lt;0,I183,MIN(I183,I186))</f>
        <v>0</v>
      </c>
      <c r="J187" s="41">
        <f t="shared" si="92"/>
        <v>0</v>
      </c>
      <c r="K187" s="41">
        <f t="shared" si="92"/>
        <v>0</v>
      </c>
      <c r="L187" s="41">
        <f t="shared" si="92"/>
        <v>0</v>
      </c>
      <c r="M187" s="41">
        <f t="shared" si="92"/>
        <v>0</v>
      </c>
      <c r="N187" s="41">
        <f t="shared" si="92"/>
        <v>0</v>
      </c>
      <c r="O187" s="41">
        <f t="shared" si="92"/>
        <v>0</v>
      </c>
      <c r="P187" s="41">
        <f t="shared" si="92"/>
        <v>0</v>
      </c>
      <c r="Q187" s="41">
        <f t="shared" si="92"/>
        <v>0</v>
      </c>
      <c r="R187" s="41">
        <f t="shared" si="92"/>
        <v>0</v>
      </c>
      <c r="S187" s="41">
        <f t="shared" si="92"/>
        <v>0</v>
      </c>
      <c r="T187" s="41">
        <f t="shared" si="92"/>
        <v>0</v>
      </c>
      <c r="U187" s="41">
        <f t="shared" si="92"/>
        <v>0</v>
      </c>
      <c r="V187" s="151">
        <f>+V183</f>
        <v>0</v>
      </c>
      <c r="W187" s="135"/>
      <c r="X187" s="29"/>
      <c r="Y187" s="29"/>
      <c r="Z187" s="29"/>
      <c r="AA187" s="22"/>
      <c r="AB187" s="22"/>
      <c r="AC187" s="22"/>
      <c r="AD187" s="22"/>
      <c r="AE187" s="22"/>
      <c r="AF187" s="22"/>
      <c r="AG187" s="22"/>
    </row>
    <row r="188" spans="1:33" x14ac:dyDescent="0.2">
      <c r="A188" s="169" t="s">
        <v>105</v>
      </c>
      <c r="B188" s="43"/>
      <c r="C188" s="43"/>
      <c r="D188" s="43"/>
      <c r="E188" s="22"/>
      <c r="F188" s="29"/>
      <c r="G188" s="29"/>
      <c r="H188" s="255" t="str">
        <f>+IF(H187&gt;0,"retención",+IF(H187&lt;0,"devolución",""))</f>
        <v/>
      </c>
      <c r="I188" s="255" t="str">
        <f>+IF(I187&gt;0,"retención",+IF(I187&lt;0,"devolución",""))</f>
        <v/>
      </c>
      <c r="J188" s="255" t="str">
        <f>+IF(J187&gt;0,"retención",+IF(J187&lt;0,"devolución",""))</f>
        <v/>
      </c>
      <c r="K188" s="255" t="str">
        <f>+IF(K187&gt;0,"retención",+IF(K187&lt;0,"devolución",""))</f>
        <v/>
      </c>
      <c r="L188" s="255" t="str">
        <f t="shared" ref="L188:V188" si="93">+IF(L187&gt;0,"retención",+IF(L187&lt;0,"devolución",""))</f>
        <v/>
      </c>
      <c r="M188" s="255" t="str">
        <f t="shared" si="93"/>
        <v/>
      </c>
      <c r="N188" s="255" t="str">
        <f t="shared" si="93"/>
        <v/>
      </c>
      <c r="O188" s="255" t="str">
        <f t="shared" si="93"/>
        <v/>
      </c>
      <c r="P188" s="255" t="str">
        <f t="shared" si="93"/>
        <v/>
      </c>
      <c r="Q188" s="255" t="str">
        <f t="shared" si="93"/>
        <v/>
      </c>
      <c r="R188" s="255" t="str">
        <f t="shared" si="93"/>
        <v/>
      </c>
      <c r="S188" s="255" t="str">
        <f t="shared" si="93"/>
        <v/>
      </c>
      <c r="T188" s="255" t="str">
        <f t="shared" si="93"/>
        <v/>
      </c>
      <c r="U188" s="255" t="str">
        <f t="shared" si="93"/>
        <v/>
      </c>
      <c r="V188" s="155" t="str">
        <f t="shared" si="93"/>
        <v/>
      </c>
      <c r="W188" s="135"/>
      <c r="X188" s="29"/>
      <c r="Y188" s="29"/>
      <c r="Z188" s="29"/>
      <c r="AA188" s="22"/>
      <c r="AB188" s="22"/>
      <c r="AC188" s="22"/>
      <c r="AD188" s="22"/>
      <c r="AE188" s="22"/>
      <c r="AF188" s="22"/>
      <c r="AG188" s="22"/>
    </row>
    <row r="189" spans="1:33" x14ac:dyDescent="0.2">
      <c r="A189" s="170" t="s">
        <v>105</v>
      </c>
      <c r="B189" s="43"/>
      <c r="C189" s="43"/>
      <c r="D189" s="43"/>
      <c r="E189" s="245"/>
      <c r="F189" s="29"/>
      <c r="G189" s="29"/>
      <c r="H189" s="256"/>
      <c r="I189" s="256"/>
      <c r="J189" s="256"/>
      <c r="K189" s="256"/>
      <c r="L189" s="256"/>
      <c r="M189" s="256"/>
      <c r="N189" s="256"/>
      <c r="O189" s="256"/>
      <c r="P189" s="256"/>
      <c r="Q189" s="256"/>
      <c r="R189" s="256"/>
      <c r="S189" s="256"/>
      <c r="T189" s="256"/>
      <c r="U189" s="256"/>
      <c r="V189" s="268"/>
      <c r="W189" s="135"/>
      <c r="X189" s="29"/>
      <c r="Y189" s="29"/>
      <c r="Z189" s="29"/>
      <c r="AA189" s="22"/>
      <c r="AB189" s="22"/>
      <c r="AC189" s="22"/>
      <c r="AD189" s="22"/>
      <c r="AE189" s="22"/>
      <c r="AF189" s="22"/>
      <c r="AG189" s="22"/>
    </row>
    <row r="190" spans="1:33" x14ac:dyDescent="0.2">
      <c r="A190" s="170" t="s">
        <v>105</v>
      </c>
      <c r="B190" s="43"/>
      <c r="C190" s="43"/>
      <c r="D190" s="43"/>
      <c r="E190" s="245" t="s">
        <v>384</v>
      </c>
      <c r="F190" s="245" t="s">
        <v>220</v>
      </c>
      <c r="G190" s="29"/>
      <c r="H190" s="257"/>
      <c r="I190" s="257"/>
      <c r="J190" s="257"/>
      <c r="K190" s="257"/>
      <c r="L190" s="257"/>
      <c r="M190" s="257"/>
      <c r="N190" s="257"/>
      <c r="O190" s="257"/>
      <c r="P190" s="257"/>
      <c r="Q190" s="257"/>
      <c r="R190" s="257"/>
      <c r="S190" s="257"/>
      <c r="T190" s="257"/>
      <c r="U190" s="257"/>
      <c r="V190" s="268"/>
      <c r="W190" s="135"/>
      <c r="X190" s="29"/>
      <c r="Y190" s="29"/>
      <c r="Z190" s="29"/>
      <c r="AA190" s="22"/>
      <c r="AB190" s="22"/>
      <c r="AC190" s="22"/>
      <c r="AD190" s="22"/>
      <c r="AE190" s="22"/>
      <c r="AF190" s="22"/>
      <c r="AG190" s="22"/>
    </row>
    <row r="191" spans="1:33" x14ac:dyDescent="0.2">
      <c r="A191" s="170" t="s">
        <v>105</v>
      </c>
      <c r="B191" s="43"/>
      <c r="C191" s="43"/>
      <c r="D191" s="43"/>
      <c r="E191" s="245" t="s">
        <v>384</v>
      </c>
      <c r="F191" s="245" t="s">
        <v>220</v>
      </c>
      <c r="G191" s="29"/>
      <c r="H191" s="257"/>
      <c r="I191" s="257"/>
      <c r="J191" s="257"/>
      <c r="K191" s="257"/>
      <c r="L191" s="257"/>
      <c r="M191" s="257"/>
      <c r="N191" s="257"/>
      <c r="O191" s="257"/>
      <c r="P191" s="257"/>
      <c r="Q191" s="257"/>
      <c r="R191" s="257"/>
      <c r="S191" s="257"/>
      <c r="T191" s="257"/>
      <c r="U191" s="257"/>
      <c r="V191" s="268"/>
      <c r="W191" s="135"/>
      <c r="X191" s="29"/>
      <c r="Y191" s="29"/>
      <c r="Z191" s="29"/>
      <c r="AA191" s="22"/>
      <c r="AB191" s="22"/>
      <c r="AC191" s="22"/>
      <c r="AD191" s="22"/>
      <c r="AE191" s="22"/>
      <c r="AF191" s="22"/>
      <c r="AG191" s="22"/>
    </row>
    <row r="192" spans="1:33" x14ac:dyDescent="0.2">
      <c r="A192" s="170" t="s">
        <v>105</v>
      </c>
      <c r="B192" s="43"/>
      <c r="C192" s="43"/>
      <c r="D192" s="43"/>
      <c r="E192" s="245" t="s">
        <v>384</v>
      </c>
      <c r="F192" s="245" t="s">
        <v>220</v>
      </c>
      <c r="G192" s="29"/>
      <c r="H192" s="257"/>
      <c r="I192" s="257"/>
      <c r="J192" s="257"/>
      <c r="K192" s="257"/>
      <c r="L192" s="257"/>
      <c r="M192" s="257"/>
      <c r="N192" s="257"/>
      <c r="O192" s="257"/>
      <c r="P192" s="257"/>
      <c r="Q192" s="257"/>
      <c r="R192" s="257"/>
      <c r="S192" s="257"/>
      <c r="T192" s="257"/>
      <c r="U192" s="257"/>
      <c r="V192" s="269"/>
      <c r="W192" s="135"/>
      <c r="X192" s="29"/>
      <c r="Y192" s="29"/>
      <c r="Z192" s="29"/>
      <c r="AA192" s="22"/>
      <c r="AB192" s="22"/>
      <c r="AC192" s="22"/>
      <c r="AD192" s="22"/>
      <c r="AE192" s="22"/>
      <c r="AF192" s="22"/>
      <c r="AG192" s="22"/>
    </row>
    <row r="193" spans="1:33" ht="13.5" thickBot="1" x14ac:dyDescent="0.25">
      <c r="A193" s="169" t="s">
        <v>105</v>
      </c>
      <c r="B193" s="22"/>
      <c r="C193" s="22"/>
      <c r="D193" s="200" t="s">
        <v>398</v>
      </c>
      <c r="E193" s="292"/>
      <c r="F193" s="273" t="s">
        <v>24</v>
      </c>
      <c r="G193" s="100"/>
      <c r="H193" s="18">
        <f>+SUM(H190:H192)</f>
        <v>0</v>
      </c>
      <c r="I193" s="18">
        <f t="shared" ref="I193:U193" si="94">+SUM(I190:I192)</f>
        <v>0</v>
      </c>
      <c r="J193" s="18">
        <f t="shared" si="94"/>
        <v>0</v>
      </c>
      <c r="K193" s="18">
        <f t="shared" si="94"/>
        <v>0</v>
      </c>
      <c r="L193" s="18">
        <f t="shared" si="94"/>
        <v>0</v>
      </c>
      <c r="M193" s="18">
        <f t="shared" si="94"/>
        <v>0</v>
      </c>
      <c r="N193" s="18">
        <f t="shared" si="94"/>
        <v>0</v>
      </c>
      <c r="O193" s="18">
        <f t="shared" si="94"/>
        <v>0</v>
      </c>
      <c r="P193" s="18">
        <f t="shared" si="94"/>
        <v>0</v>
      </c>
      <c r="Q193" s="18">
        <f t="shared" si="94"/>
        <v>0</v>
      </c>
      <c r="R193" s="18">
        <f t="shared" si="94"/>
        <v>0</v>
      </c>
      <c r="S193" s="18">
        <f t="shared" si="94"/>
        <v>0</v>
      </c>
      <c r="T193" s="18">
        <f t="shared" si="94"/>
        <v>0</v>
      </c>
      <c r="U193" s="18">
        <f t="shared" si="94"/>
        <v>0</v>
      </c>
      <c r="V193" s="168"/>
      <c r="W193" s="153"/>
      <c r="X193" s="29"/>
      <c r="Y193" s="29"/>
      <c r="Z193" s="29"/>
      <c r="AA193" s="22"/>
      <c r="AB193" s="22"/>
      <c r="AC193" s="22"/>
      <c r="AD193" s="22"/>
      <c r="AE193" s="22"/>
      <c r="AF193" s="22"/>
      <c r="AG193" s="22"/>
    </row>
    <row r="194" spans="1:33" x14ac:dyDescent="0.2">
      <c r="A194" s="169" t="s">
        <v>105</v>
      </c>
      <c r="B194" s="36"/>
      <c r="C194" s="36"/>
      <c r="D194" s="36"/>
      <c r="E194" s="36"/>
      <c r="F194" s="30"/>
      <c r="G194" s="30"/>
      <c r="H194" s="22"/>
      <c r="I194" s="57"/>
      <c r="J194" s="57"/>
      <c r="K194" s="57"/>
      <c r="L194" s="57"/>
      <c r="M194" s="57"/>
      <c r="N194" s="57"/>
      <c r="O194" s="57"/>
      <c r="P194" s="57"/>
      <c r="Q194" s="57"/>
      <c r="R194" s="57"/>
      <c r="S194" s="57"/>
      <c r="T194" s="57"/>
      <c r="U194" s="57"/>
      <c r="V194" s="57"/>
      <c r="W194" s="29"/>
      <c r="X194" s="29"/>
      <c r="Y194" s="29"/>
      <c r="Z194" s="29"/>
      <c r="AA194" s="22"/>
      <c r="AB194" s="22"/>
      <c r="AC194" s="22"/>
      <c r="AD194" s="22"/>
      <c r="AE194" s="22"/>
      <c r="AF194" s="22"/>
      <c r="AG194" s="22"/>
    </row>
    <row r="195" spans="1:33" ht="13.5" thickBot="1" x14ac:dyDescent="0.25">
      <c r="A195" s="169" t="s">
        <v>105</v>
      </c>
      <c r="B195" s="336" t="s">
        <v>106</v>
      </c>
      <c r="C195" s="336"/>
      <c r="D195" s="337"/>
      <c r="E195" s="58" t="s">
        <v>71</v>
      </c>
      <c r="F195" s="58" t="s">
        <v>72</v>
      </c>
      <c r="G195" s="58"/>
      <c r="H195" s="22"/>
      <c r="I195" s="29"/>
      <c r="J195" s="29"/>
      <c r="K195" s="29"/>
      <c r="L195" s="29"/>
      <c r="M195" s="29"/>
      <c r="N195" s="29"/>
      <c r="O195" s="29"/>
      <c r="P195" s="29"/>
      <c r="Q195" s="29"/>
      <c r="R195" s="29"/>
      <c r="S195" s="29"/>
      <c r="T195" s="29"/>
      <c r="U195" s="29"/>
      <c r="V195" s="29"/>
      <c r="W195" s="29"/>
      <c r="X195" s="29"/>
      <c r="Y195" s="29"/>
      <c r="Z195" s="29"/>
      <c r="AA195" s="22"/>
      <c r="AB195" s="22"/>
      <c r="AC195" s="22"/>
      <c r="AD195" s="22"/>
      <c r="AE195" s="22"/>
      <c r="AF195" s="22"/>
      <c r="AG195" s="22"/>
    </row>
    <row r="196" spans="1:33" ht="13.5" thickBot="1" x14ac:dyDescent="0.25">
      <c r="A196" s="169" t="s">
        <v>105</v>
      </c>
      <c r="B196" s="335" t="s">
        <v>22</v>
      </c>
      <c r="C196" s="298"/>
      <c r="D196" s="299"/>
      <c r="E196" s="119"/>
      <c r="F196" s="120"/>
      <c r="G196" s="240" t="s">
        <v>245</v>
      </c>
      <c r="H196" s="204">
        <f>+IF(AND($E196&lt;&gt;"",H$1&gt;=$E196),VLOOKUP(H$1-$E196+1,Tablas!$A$53:$P$67,2+H$5,FALSE),0)-IF(AND($F196&lt;&gt;"",H$1&gt;$F196),VLOOKUP(H$1-$F196,Tablas!$A$53:$P$67,2+H$5,FALSE),0)</f>
        <v>0</v>
      </c>
      <c r="I196" s="204">
        <f>+IF(AND($E196&lt;&gt;"",I$1&gt;=$E196),VLOOKUP(I$1-$E196+1,Tablas!$A$53:$P$67,2+I$5,FALSE),0)-IF(AND($F196&lt;&gt;"",I$1&gt;$F196),VLOOKUP(I$1-$F196,Tablas!$A$53:$P$67,2+I$5,FALSE),0)</f>
        <v>0</v>
      </c>
      <c r="J196" s="204">
        <f>+IF(AND($E196&lt;&gt;"",J$1&gt;=$E196),VLOOKUP(J$1-$E196+1,Tablas!$A$53:$P$67,2+J$5,FALSE),0)-IF(AND($F196&lt;&gt;"",J$1&gt;$F196),VLOOKUP(J$1-$F196,Tablas!$A$53:$P$67,2+J$5,FALSE),0)</f>
        <v>0</v>
      </c>
      <c r="K196" s="204">
        <f>+IF(AND($E196&lt;&gt;"",K$1&gt;=$E196),VLOOKUP(K$1-$E196+1,Tablas!$A$53:$P$67,2+K$5,FALSE),0)-IF(AND($F196&lt;&gt;"",K$1&gt;$F196),VLOOKUP(K$1-$F196,Tablas!$A$53:$P$67,2+K$5,FALSE),0)</f>
        <v>0</v>
      </c>
      <c r="L196" s="204">
        <f>+IF(AND($E196&lt;&gt;"",L$1&gt;=$E196),VLOOKUP(L$1-$E196+1,Tablas!$A$53:$P$67,2+L$5,FALSE),0)-IF(AND($F196&lt;&gt;"",L$1&gt;$F196),VLOOKUP(L$1-$F196,Tablas!$A$53:$P$67,2+L$5,FALSE),0)</f>
        <v>0</v>
      </c>
      <c r="M196" s="204">
        <f>+IF(AND($E196&lt;&gt;"",M$1&gt;=$E196),VLOOKUP(M$1-$E196+1,Tablas!$A$53:$P$67,2+M$5,FALSE),0)-IF(AND($F196&lt;&gt;"",M$1&gt;$F196),VLOOKUP(M$1-$F196,Tablas!$A$53:$P$67,2+M$5,FALSE),0)</f>
        <v>0</v>
      </c>
      <c r="N196" s="204">
        <f>+IF(AND($E196&lt;&gt;"",N$1&gt;=$E196),VLOOKUP(N$1-$E196+1,Tablas!$A$53:$P$67,2+N$5,FALSE),0)-IF(AND($F196&lt;&gt;"",N$1&gt;$F196),VLOOKUP(N$1-$F196,Tablas!$A$53:$P$67,2+N$5,FALSE),0)</f>
        <v>0</v>
      </c>
      <c r="O196" s="204">
        <f>+IF(AND($E196&lt;&gt;"",O$1&gt;=$E196),VLOOKUP(O$1-$E196+1,Tablas!$A$53:$P$67,2+O$5,FALSE),0)-IF(AND($F196&lt;&gt;"",O$1&gt;$F196),VLOOKUP(O$1-$F196,Tablas!$A$53:$P$67,2+O$5,FALSE),0)</f>
        <v>0</v>
      </c>
      <c r="P196" s="204">
        <f>+IF(AND($E196&lt;&gt;"",P$1&gt;=$E196),VLOOKUP(P$1-$E196+1,Tablas!$A$53:$P$67,2+P$5,FALSE),0)-IF(AND($F196&lt;&gt;"",P$1&gt;$F196),VLOOKUP(P$1-$F196,Tablas!$A$53:$P$67,2+P$5,FALSE),0)</f>
        <v>0</v>
      </c>
      <c r="Q196" s="204">
        <f>+IF(AND($E196&lt;&gt;"",Q$1&gt;=$E196),VLOOKUP(Q$1-$E196+1,Tablas!$A$53:$P$67,2+Q$5,FALSE),0)-IF(AND($F196&lt;&gt;"",Q$1&gt;$F196),VLOOKUP(Q$1-$F196,Tablas!$A$53:$P$67,2+Q$5,FALSE),0)</f>
        <v>0</v>
      </c>
      <c r="R196" s="204">
        <f>+IF(AND($E196&lt;&gt;"",R$1&gt;=$E196),VLOOKUP(R$1-$E196+1,Tablas!$A$53:$P$67,2+R$5,FALSE),0)-IF(AND($F196&lt;&gt;"",R$1&gt;$F196),VLOOKUP(R$1-$F196,Tablas!$A$53:$P$67,2+R$5,FALSE),0)</f>
        <v>0</v>
      </c>
      <c r="S196" s="204">
        <f>+IF(AND($E196&lt;&gt;"",S$1&gt;=$E196),VLOOKUP(S$1-$E196+1,Tablas!$A$53:$P$67,2+S$5,FALSE),0)-IF(AND($F196&lt;&gt;"",S$1&gt;$F196),VLOOKUP(S$1-$F196,Tablas!$A$53:$P$67,2+S$5,FALSE),0)</f>
        <v>0</v>
      </c>
      <c r="T196" s="204">
        <f>+IF(AND($E196&lt;&gt;"",T$1&gt;=$E196),VLOOKUP(T$1-$E196+1,Tablas!$A$53:$P$67,2+T$5,FALSE),0)-IF(AND($F196&lt;&gt;"",T$1&gt;$F196),VLOOKUP(T$1-$F196,Tablas!$A$53:$P$67,2+T$5,FALSE),0)</f>
        <v>0</v>
      </c>
      <c r="U196" s="204">
        <f>+IF(AND($E196&lt;&gt;"",U$1&gt;=$E196),VLOOKUP(U$1-$E196+1,Tablas!$A$53:$P$67,2+U$5,FALSE),0)-IF(AND($F196&lt;&gt;"",U$1&gt;$F196),VLOOKUP(U$1-$F196,Tablas!$A$53:$P$67,2+U$5,FALSE),0)</f>
        <v>0</v>
      </c>
      <c r="V196" s="204">
        <f>+IF(AND($E196&lt;&gt;"",V$1&gt;=$E196),VLOOKUP(V$1-$E196+1,Tablas!$A$53:$P$67,2+V$5,FALSE),0)-IF(AND($F196&lt;&gt;"",V$1&gt;$F196),VLOOKUP(V$1-$F196,Tablas!$A$53:$P$67,2+V$5,FALSE),0)</f>
        <v>0</v>
      </c>
      <c r="W196" s="323" t="s">
        <v>250</v>
      </c>
      <c r="X196" s="324"/>
      <c r="Y196" s="29"/>
      <c r="Z196" s="29"/>
      <c r="AA196" s="22"/>
      <c r="AB196" s="22"/>
      <c r="AC196" s="22"/>
      <c r="AD196" s="22"/>
      <c r="AE196" s="22"/>
      <c r="AF196" s="22"/>
      <c r="AG196" s="22"/>
    </row>
    <row r="197" spans="1:33" x14ac:dyDescent="0.2">
      <c r="A197" s="169" t="s">
        <v>105</v>
      </c>
      <c r="B197" s="271" t="s">
        <v>59</v>
      </c>
      <c r="C197" s="293" t="s">
        <v>244</v>
      </c>
      <c r="D197" s="172"/>
      <c r="E197" s="121"/>
      <c r="F197" s="122"/>
      <c r="G197" s="179"/>
      <c r="H197" s="204">
        <f>(IF(AND($E197&lt;&gt;"",H$1&gt;=$E197),VLOOKUP(H$1-$E197+1,Tablas!$A$70:$P$83,2+H$5,FALSE),0)-IF(AND($F197&lt;&gt;"",H$1&gt;$F197),VLOOKUP(H$1-$F197,Tablas!$A$70:$P$83,2+H$5,FALSE),0))*IF($G197="x",2,1)</f>
        <v>0</v>
      </c>
      <c r="I197" s="204">
        <f>(IF(AND($E197&lt;&gt;"",I$1&gt;=$E197),VLOOKUP(I$1-$E197+1,Tablas!$A$70:$P$83,2+I$5,FALSE),0)-IF(AND($F197&lt;&gt;"",I$1&gt;$F197),VLOOKUP(I$1-$F197,Tablas!$A$70:$P$83,2+I$5,FALSE),0))*IF($G197="x",2,1)</f>
        <v>0</v>
      </c>
      <c r="J197" s="204">
        <f>(IF(AND($E197&lt;&gt;"",J$1&gt;=$E197),VLOOKUP(J$1-$E197+1,Tablas!$A$70:$P$83,2+J$5,FALSE),0)-IF(AND($F197&lt;&gt;"",J$1&gt;$F197),VLOOKUP(J$1-$F197,Tablas!$A$70:$P$83,2+J$5,FALSE),0))*IF($G197="x",2,1)</f>
        <v>0</v>
      </c>
      <c r="K197" s="204">
        <f>(IF(AND($E197&lt;&gt;"",K$1&gt;=$E197),VLOOKUP(K$1-$E197+1,Tablas!$A$70:$P$83,2+K$5,FALSE),0)-IF(AND($F197&lt;&gt;"",K$1&gt;$F197),VLOOKUP(K$1-$F197,Tablas!$A$70:$P$83,2+K$5,FALSE),0))*IF($G197="x",2,1)</f>
        <v>0</v>
      </c>
      <c r="L197" s="204">
        <f>(IF(AND($E197&lt;&gt;"",L$1&gt;=$E197),VLOOKUP(L$1-$E197+1,Tablas!$A$70:$P$83,2+L$5,FALSE),0)-IF(AND($F197&lt;&gt;"",L$1&gt;$F197),VLOOKUP(L$1-$F197,Tablas!$A$70:$P$83,2+L$5,FALSE),0))*IF($G197="x",2,1)</f>
        <v>0</v>
      </c>
      <c r="M197" s="204">
        <f>(IF(AND($E197&lt;&gt;"",M$1&gt;=$E197),VLOOKUP(M$1-$E197+1,Tablas!$A$70:$P$83,2+M$5,FALSE),0)-IF(AND($F197&lt;&gt;"",M$1&gt;$F197),VLOOKUP(M$1-$F197,Tablas!$A$70:$P$83,2+M$5,FALSE),0))*IF($G197="x",2,1)</f>
        <v>0</v>
      </c>
      <c r="N197" s="204">
        <f>(IF(AND($E197&lt;&gt;"",N$1&gt;=$E197),VLOOKUP(N$1-$E197+1,Tablas!$A$70:$P$83,2+N$5,FALSE),0)-IF(AND($F197&lt;&gt;"",N$1&gt;$F197),VLOOKUP(N$1-$F197,Tablas!$A$70:$P$83,2+N$5,FALSE),0))*IF($G197="x",2,1)</f>
        <v>0</v>
      </c>
      <c r="O197" s="204">
        <f>(IF(AND($E197&lt;&gt;"",O$1&gt;=$E197),VLOOKUP(O$1-$E197+1,Tablas!$A$70:$P$83,2+O$5,FALSE),0)-IF(AND($F197&lt;&gt;"",O$1&gt;$F197),VLOOKUP(O$1-$F197,Tablas!$A$70:$P$83,2+O$5,FALSE),0))*IF($G197="x",2,1)</f>
        <v>0</v>
      </c>
      <c r="P197" s="204">
        <f>(IF(AND($E197&lt;&gt;"",P$1&gt;=$E197),VLOOKUP(P$1-$E197+1,Tablas!$A$70:$P$83,2+P$5,FALSE),0)-IF(AND($F197&lt;&gt;"",P$1&gt;$F197),VLOOKUP(P$1-$F197,Tablas!$A$70:$P$83,2+P$5,FALSE),0))*IF($G197="x",2,1)</f>
        <v>0</v>
      </c>
      <c r="Q197" s="204">
        <f>(IF(AND($E197&lt;&gt;"",Q$1&gt;=$E197),VLOOKUP(Q$1-$E197+1,Tablas!$A$70:$P$83,2+Q$5,FALSE),0)-IF(AND($F197&lt;&gt;"",Q$1&gt;$F197),VLOOKUP(Q$1-$F197,Tablas!$A$70:$P$83,2+Q$5,FALSE),0))*IF($G197="x",2,1)</f>
        <v>0</v>
      </c>
      <c r="R197" s="204">
        <f>(IF(AND($E197&lt;&gt;"",R$1&gt;=$E197),VLOOKUP(R$1-$E197+1,Tablas!$A$70:$P$83,2+R$5,FALSE),0)-IF(AND($F197&lt;&gt;"",R$1&gt;$F197),VLOOKUP(R$1-$F197,Tablas!$A$70:$P$83,2+R$5,FALSE),0))*IF($G197="x",2,1)</f>
        <v>0</v>
      </c>
      <c r="S197" s="204">
        <f>(IF(AND($E197&lt;&gt;"",S$1&gt;=$E197),VLOOKUP(S$1-$E197+1,Tablas!$A$70:$P$83,2+S$5,FALSE),0)-IF(AND($F197&lt;&gt;"",S$1&gt;$F197),VLOOKUP(S$1-$F197,Tablas!$A$70:$P$83,2+S$5,FALSE),0))*IF($G197="x",2,1)</f>
        <v>0</v>
      </c>
      <c r="T197" s="204">
        <f>(IF(AND($E197&lt;&gt;"",T$1&gt;=$E197),VLOOKUP(T$1-$E197+1,Tablas!$A$70:$P$83,2+T$5,FALSE),0)-IF(AND($F197&lt;&gt;"",T$1&gt;$F197),VLOOKUP(T$1-$F197,Tablas!$A$70:$P$83,2+T$5,FALSE),0))*IF($G197="x",2,1)</f>
        <v>0</v>
      </c>
      <c r="U197" s="204">
        <f>(IF(AND($E197&lt;&gt;"",U$1&gt;=$E197),VLOOKUP(U$1-$E197+1,Tablas!$A$70:$P$83,2+U$5,FALSE),0)-IF(AND($F197&lt;&gt;"",U$1&gt;$F197),VLOOKUP(U$1-$F197,Tablas!$A$70:$P$83,2+U$5,FALSE),0))*IF($G197="x",2,1)</f>
        <v>0</v>
      </c>
      <c r="V197" s="204">
        <f>(IF(AND($E197&lt;&gt;"",V$1&gt;=$E197),VLOOKUP(V$1-$E197+1,Tablas!$A$70:$P$83,2+V$5,FALSE),0)-IF(AND($F197&lt;&gt;"",V$1&gt;$F197),VLOOKUP(V$1-$F197,Tablas!$A$70:$P$83,2+V$5,FALSE),0))*IF($G197="x",2,1)</f>
        <v>0</v>
      </c>
      <c r="W197" s="112">
        <v>1</v>
      </c>
      <c r="X197" s="205" t="s">
        <v>246</v>
      </c>
      <c r="Y197" s="29"/>
      <c r="Z197" s="29"/>
      <c r="AA197" s="22"/>
      <c r="AB197" s="22"/>
      <c r="AC197" s="22"/>
      <c r="AD197" s="22"/>
      <c r="AE197" s="22"/>
      <c r="AF197" s="22"/>
      <c r="AG197" s="22"/>
    </row>
    <row r="198" spans="1:33" x14ac:dyDescent="0.2">
      <c r="A198" s="169" t="s">
        <v>105</v>
      </c>
      <c r="B198" s="271" t="s">
        <v>60</v>
      </c>
      <c r="C198" s="293" t="s">
        <v>244</v>
      </c>
      <c r="D198" s="172"/>
      <c r="E198" s="123"/>
      <c r="F198" s="176"/>
      <c r="G198" s="179"/>
      <c r="H198" s="204">
        <f>(IF(AND($E198&lt;&gt;"",H$1&gt;=$E198),VLOOKUP(H$1-$E198+1,Tablas!$A$70:$P$83,2+H$5,FALSE),0)-IF(AND($F198&lt;&gt;"",H$1&gt;$F198),VLOOKUP(H$1-$F198,Tablas!$A$70:$P$83,2+H$5,FALSE),0))*IF($G198="x",2,1)</f>
        <v>0</v>
      </c>
      <c r="I198" s="204">
        <f>(IF(AND($E198&lt;&gt;"",I$1&gt;=$E198),VLOOKUP(I$1-$E198+1,Tablas!$A$70:$P$83,2+I$5,FALSE),0)-IF(AND($F198&lt;&gt;"",I$1&gt;$F198),VLOOKUP(I$1-$F198,Tablas!$A$70:$P$83,2+I$5,FALSE),0))*IF($G198="x",2,1)</f>
        <v>0</v>
      </c>
      <c r="J198" s="204">
        <f>(IF(AND($E198&lt;&gt;"",J$1&gt;=$E198),VLOOKUP(J$1-$E198+1,Tablas!$A$70:$P$83,2+J$5,FALSE),0)-IF(AND($F198&lt;&gt;"",J$1&gt;$F198),VLOOKUP(J$1-$F198,Tablas!$A$70:$P$83,2+J$5,FALSE),0))*IF($G198="x",2,1)</f>
        <v>0</v>
      </c>
      <c r="K198" s="204">
        <f>(IF(AND($E198&lt;&gt;"",K$1&gt;=$E198),VLOOKUP(K$1-$E198+1,Tablas!$A$70:$P$83,2+K$5,FALSE),0)-IF(AND($F198&lt;&gt;"",K$1&gt;$F198),VLOOKUP(K$1-$F198,Tablas!$A$70:$P$83,2+K$5,FALSE),0))*IF($G198="x",2,1)</f>
        <v>0</v>
      </c>
      <c r="L198" s="204">
        <f>(IF(AND($E198&lt;&gt;"",L$1&gt;=$E198),VLOOKUP(L$1-$E198+1,Tablas!$A$70:$P$83,2+L$5,FALSE),0)-IF(AND($F198&lt;&gt;"",L$1&gt;$F198),VLOOKUP(L$1-$F198,Tablas!$A$70:$P$83,2+L$5,FALSE),0))*IF($G198="x",2,1)</f>
        <v>0</v>
      </c>
      <c r="M198" s="204">
        <f>(IF(AND($E198&lt;&gt;"",M$1&gt;=$E198),VLOOKUP(M$1-$E198+1,Tablas!$A$70:$P$83,2+M$5,FALSE),0)-IF(AND($F198&lt;&gt;"",M$1&gt;$F198),VLOOKUP(M$1-$F198,Tablas!$A$70:$P$83,2+M$5,FALSE),0))*IF($G198="x",2,1)</f>
        <v>0</v>
      </c>
      <c r="N198" s="204">
        <f>(IF(AND($E198&lt;&gt;"",N$1&gt;=$E198),VLOOKUP(N$1-$E198+1,Tablas!$A$70:$P$83,2+N$5,FALSE),0)-IF(AND($F198&lt;&gt;"",N$1&gt;$F198),VLOOKUP(N$1-$F198,Tablas!$A$70:$P$83,2+N$5,FALSE),0))*IF($G198="x",2,1)</f>
        <v>0</v>
      </c>
      <c r="O198" s="204">
        <f>(IF(AND($E198&lt;&gt;"",O$1&gt;=$E198),VLOOKUP(O$1-$E198+1,Tablas!$A$70:$P$83,2+O$5,FALSE),0)-IF(AND($F198&lt;&gt;"",O$1&gt;$F198),VLOOKUP(O$1-$F198,Tablas!$A$70:$P$83,2+O$5,FALSE),0))*IF($G198="x",2,1)</f>
        <v>0</v>
      </c>
      <c r="P198" s="204">
        <f>(IF(AND($E198&lt;&gt;"",P$1&gt;=$E198),VLOOKUP(P$1-$E198+1,Tablas!$A$70:$P$83,2+P$5,FALSE),0)-IF(AND($F198&lt;&gt;"",P$1&gt;$F198),VLOOKUP(P$1-$F198,Tablas!$A$70:$P$83,2+P$5,FALSE),0))*IF($G198="x",2,1)</f>
        <v>0</v>
      </c>
      <c r="Q198" s="204">
        <f>(IF(AND($E198&lt;&gt;"",Q$1&gt;=$E198),VLOOKUP(Q$1-$E198+1,Tablas!$A$70:$P$83,2+Q$5,FALSE),0)-IF(AND($F198&lt;&gt;"",Q$1&gt;$F198),VLOOKUP(Q$1-$F198,Tablas!$A$70:$P$83,2+Q$5,FALSE),0))*IF($G198="x",2,1)</f>
        <v>0</v>
      </c>
      <c r="R198" s="204">
        <f>(IF(AND($E198&lt;&gt;"",R$1&gt;=$E198),VLOOKUP(R$1-$E198+1,Tablas!$A$70:$P$83,2+R$5,FALSE),0)-IF(AND($F198&lt;&gt;"",R$1&gt;$F198),VLOOKUP(R$1-$F198,Tablas!$A$70:$P$83,2+R$5,FALSE),0))*IF($G198="x",2,1)</f>
        <v>0</v>
      </c>
      <c r="S198" s="204">
        <f>(IF(AND($E198&lt;&gt;"",S$1&gt;=$E198),VLOOKUP(S$1-$E198+1,Tablas!$A$70:$P$83,2+S$5,FALSE),0)-IF(AND($F198&lt;&gt;"",S$1&gt;$F198),VLOOKUP(S$1-$F198,Tablas!$A$70:$P$83,2+S$5,FALSE),0))*IF($G198="x",2,1)</f>
        <v>0</v>
      </c>
      <c r="T198" s="204">
        <f>(IF(AND($E198&lt;&gt;"",T$1&gt;=$E198),VLOOKUP(T$1-$E198+1,Tablas!$A$70:$P$83,2+T$5,FALSE),0)-IF(AND($F198&lt;&gt;"",T$1&gt;$F198),VLOOKUP(T$1-$F198,Tablas!$A$70:$P$83,2+T$5,FALSE),0))*IF($G198="x",2,1)</f>
        <v>0</v>
      </c>
      <c r="U198" s="204">
        <f>(IF(AND($E198&lt;&gt;"",U$1&gt;=$E198),VLOOKUP(U$1-$E198+1,Tablas!$A$70:$P$83,2+U$5,FALSE),0)-IF(AND($F198&lt;&gt;"",U$1&gt;$F198),VLOOKUP(U$1-$F198,Tablas!$A$70:$P$83,2+U$5,FALSE),0))*IF($G198="x",2,1)</f>
        <v>0</v>
      </c>
      <c r="V198" s="204">
        <f>(IF(AND($E198&lt;&gt;"",V$1&gt;=$E198),VLOOKUP(V$1-$E198+1,Tablas!$A$70:$P$83,2+V$5,FALSE),0)-IF(AND($F198&lt;&gt;"",V$1&gt;$F198),VLOOKUP(V$1-$F198,Tablas!$A$70:$P$83,2+V$5,FALSE),0))*IF($G198="x",2,1)</f>
        <v>0</v>
      </c>
      <c r="W198" s="112">
        <v>2</v>
      </c>
      <c r="X198" s="204"/>
      <c r="Y198" s="29"/>
      <c r="Z198" s="29"/>
      <c r="AA198" s="22"/>
      <c r="AB198" s="22"/>
      <c r="AC198" s="22"/>
      <c r="AD198" s="22"/>
      <c r="AE198" s="22"/>
      <c r="AF198" s="22"/>
      <c r="AG198" s="22"/>
    </row>
    <row r="199" spans="1:33" x14ac:dyDescent="0.2">
      <c r="A199" s="169" t="s">
        <v>105</v>
      </c>
      <c r="B199" s="271" t="s">
        <v>61</v>
      </c>
      <c r="C199" s="293" t="s">
        <v>244</v>
      </c>
      <c r="D199" s="172"/>
      <c r="E199" s="123"/>
      <c r="F199" s="176"/>
      <c r="G199" s="124"/>
      <c r="H199" s="204">
        <f>(IF(AND($E199&lt;&gt;"",H$1&gt;=$E199),VLOOKUP(H$1-$E199+1,Tablas!$A$70:$P$83,2+H$5,FALSE),0)-IF(AND($F199&lt;&gt;"",H$1&gt;$F199),VLOOKUP(H$1-$F199,Tablas!$A$70:$P$83,2+H$5,FALSE),0))*IF($G199="x",2,1)</f>
        <v>0</v>
      </c>
      <c r="I199" s="204">
        <f>(IF(AND($E199&lt;&gt;"",I$1&gt;=$E199),VLOOKUP(I$1-$E199+1,Tablas!$A$70:$P$83,2+I$5,FALSE),0)-IF(AND($F199&lt;&gt;"",I$1&gt;$F199),VLOOKUP(I$1-$F199,Tablas!$A$70:$P$83,2+I$5,FALSE),0))*IF($G199="x",2,1)</f>
        <v>0</v>
      </c>
      <c r="J199" s="204">
        <f>(IF(AND($E199&lt;&gt;"",J$1&gt;=$E199),VLOOKUP(J$1-$E199+1,Tablas!$A$70:$P$83,2+J$5,FALSE),0)-IF(AND($F199&lt;&gt;"",J$1&gt;$F199),VLOOKUP(J$1-$F199,Tablas!$A$70:$P$83,2+J$5,FALSE),0))*IF($G199="x",2,1)</f>
        <v>0</v>
      </c>
      <c r="K199" s="204">
        <f>(IF(AND($E199&lt;&gt;"",K$1&gt;=$E199),VLOOKUP(K$1-$E199+1,Tablas!$A$70:$P$83,2+K$5,FALSE),0)-IF(AND($F199&lt;&gt;"",K$1&gt;$F199),VLOOKUP(K$1-$F199,Tablas!$A$70:$P$83,2+K$5,FALSE),0))*IF($G199="x",2,1)</f>
        <v>0</v>
      </c>
      <c r="L199" s="204">
        <f>(IF(AND($E199&lt;&gt;"",L$1&gt;=$E199),VLOOKUP(L$1-$E199+1,Tablas!$A$70:$P$83,2+L$5,FALSE),0)-IF(AND($F199&lt;&gt;"",L$1&gt;$F199),VLOOKUP(L$1-$F199,Tablas!$A$70:$P$83,2+L$5,FALSE),0))*IF($G199="x",2,1)</f>
        <v>0</v>
      </c>
      <c r="M199" s="204">
        <f>(IF(AND($E199&lt;&gt;"",M$1&gt;=$E199),VLOOKUP(M$1-$E199+1,Tablas!$A$70:$P$83,2+M$5,FALSE),0)-IF(AND($F199&lt;&gt;"",M$1&gt;$F199),VLOOKUP(M$1-$F199,Tablas!$A$70:$P$83,2+M$5,FALSE),0))*IF($G199="x",2,1)</f>
        <v>0</v>
      </c>
      <c r="N199" s="204">
        <f>(IF(AND($E199&lt;&gt;"",N$1&gt;=$E199),VLOOKUP(N$1-$E199+1,Tablas!$A$70:$P$83,2+N$5,FALSE),0)-IF(AND($F199&lt;&gt;"",N$1&gt;$F199),VLOOKUP(N$1-$F199,Tablas!$A$70:$P$83,2+N$5,FALSE),0))*IF($G199="x",2,1)</f>
        <v>0</v>
      </c>
      <c r="O199" s="204">
        <f>(IF(AND($E199&lt;&gt;"",O$1&gt;=$E199),VLOOKUP(O$1-$E199+1,Tablas!$A$70:$P$83,2+O$5,FALSE),0)-IF(AND($F199&lt;&gt;"",O$1&gt;$F199),VLOOKUP(O$1-$F199,Tablas!$A$70:$P$83,2+O$5,FALSE),0))*IF($G199="x",2,1)</f>
        <v>0</v>
      </c>
      <c r="P199" s="204">
        <f>(IF(AND($E199&lt;&gt;"",P$1&gt;=$E199),VLOOKUP(P$1-$E199+1,Tablas!$A$70:$P$83,2+P$5,FALSE),0)-IF(AND($F199&lt;&gt;"",P$1&gt;$F199),VLOOKUP(P$1-$F199,Tablas!$A$70:$P$83,2+P$5,FALSE),0))*IF($G199="x",2,1)</f>
        <v>0</v>
      </c>
      <c r="Q199" s="204">
        <f>(IF(AND($E199&lt;&gt;"",Q$1&gt;=$E199),VLOOKUP(Q$1-$E199+1,Tablas!$A$70:$P$83,2+Q$5,FALSE),0)-IF(AND($F199&lt;&gt;"",Q$1&gt;$F199),VLOOKUP(Q$1-$F199,Tablas!$A$70:$P$83,2+Q$5,FALSE),0))*IF($G199="x",2,1)</f>
        <v>0</v>
      </c>
      <c r="R199" s="204">
        <f>(IF(AND($E199&lt;&gt;"",R$1&gt;=$E199),VLOOKUP(R$1-$E199+1,Tablas!$A$70:$P$83,2+R$5,FALSE),0)-IF(AND($F199&lt;&gt;"",R$1&gt;$F199),VLOOKUP(R$1-$F199,Tablas!$A$70:$P$83,2+R$5,FALSE),0))*IF($G199="x",2,1)</f>
        <v>0</v>
      </c>
      <c r="S199" s="204">
        <f>(IF(AND($E199&lt;&gt;"",S$1&gt;=$E199),VLOOKUP(S$1-$E199+1,Tablas!$A$70:$P$83,2+S$5,FALSE),0)-IF(AND($F199&lt;&gt;"",S$1&gt;$F199),VLOOKUP(S$1-$F199,Tablas!$A$70:$P$83,2+S$5,FALSE),0))*IF($G199="x",2,1)</f>
        <v>0</v>
      </c>
      <c r="T199" s="204">
        <f>(IF(AND($E199&lt;&gt;"",T$1&gt;=$E199),VLOOKUP(T$1-$E199+1,Tablas!$A$70:$P$83,2+T$5,FALSE),0)-IF(AND($F199&lt;&gt;"",T$1&gt;$F199),VLOOKUP(T$1-$F199,Tablas!$A$70:$P$83,2+T$5,FALSE),0))*IF($G199="x",2,1)</f>
        <v>0</v>
      </c>
      <c r="U199" s="204">
        <f>(IF(AND($E199&lt;&gt;"",U$1&gt;=$E199),VLOOKUP(U$1-$E199+1,Tablas!$A$70:$P$83,2+U$5,FALSE),0)-IF(AND($F199&lt;&gt;"",U$1&gt;$F199),VLOOKUP(U$1-$F199,Tablas!$A$70:$P$83,2+U$5,FALSE),0))*IF($G199="x",2,1)</f>
        <v>0</v>
      </c>
      <c r="V199" s="204">
        <f>(IF(AND($E199&lt;&gt;"",V$1&gt;=$E199),VLOOKUP(V$1-$E199+1,Tablas!$A$70:$P$83,2+V$5,FALSE),0)-IF(AND($F199&lt;&gt;"",V$1&gt;$F199),VLOOKUP(V$1-$F199,Tablas!$A$70:$P$83,2+V$5,FALSE),0))*IF($G199="x",2,1)</f>
        <v>0</v>
      </c>
      <c r="W199" s="112">
        <v>3</v>
      </c>
      <c r="X199" s="204"/>
      <c r="Y199" s="29"/>
      <c r="Z199" s="29"/>
      <c r="AA199" s="22"/>
      <c r="AB199" s="22"/>
      <c r="AC199" s="22"/>
      <c r="AD199" s="22"/>
      <c r="AE199" s="22"/>
      <c r="AF199" s="22"/>
      <c r="AG199" s="22"/>
    </row>
    <row r="200" spans="1:33" x14ac:dyDescent="0.2">
      <c r="A200" s="169" t="s">
        <v>105</v>
      </c>
      <c r="B200" s="171" t="s">
        <v>62</v>
      </c>
      <c r="C200" s="293" t="s">
        <v>244</v>
      </c>
      <c r="D200" s="172"/>
      <c r="E200" s="125"/>
      <c r="F200" s="177"/>
      <c r="G200" s="126"/>
      <c r="H200" s="204">
        <f>(IF(AND($E200&lt;&gt;"",H$1&gt;=$E200),VLOOKUP(H$1-$E200+1,Tablas!$A$70:$P$83,2+H$5,FALSE),0)-IF(AND($F200&lt;&gt;"",H$1&gt;$F200),VLOOKUP(H$1-$F200,Tablas!$A$70:$P$83,2+H$5,FALSE),0))*IF($G200="x",2,1)</f>
        <v>0</v>
      </c>
      <c r="I200" s="204">
        <f>(IF(AND($E200&lt;&gt;"",I$1&gt;=$E200),VLOOKUP(I$1-$E200+1,Tablas!$A$70:$P$83,2+I$5,FALSE),0)-IF(AND($F200&lt;&gt;"",I$1&gt;$F200),VLOOKUP(I$1-$F200,Tablas!$A$70:$P$83,2+I$5,FALSE),0))*IF($G200="x",2,1)</f>
        <v>0</v>
      </c>
      <c r="J200" s="204">
        <f>(IF(AND($E200&lt;&gt;"",J$1&gt;=$E200),VLOOKUP(J$1-$E200+1,Tablas!$A$70:$P$83,2+J$5,FALSE),0)-IF(AND($F200&lt;&gt;"",J$1&gt;$F200),VLOOKUP(J$1-$F200,Tablas!$A$70:$P$83,2+J$5,FALSE),0))*IF($G200="x",2,1)</f>
        <v>0</v>
      </c>
      <c r="K200" s="204">
        <f>(IF(AND($E200&lt;&gt;"",K$1&gt;=$E200),VLOOKUP(K$1-$E200+1,Tablas!$A$70:$P$83,2+K$5,FALSE),0)-IF(AND($F200&lt;&gt;"",K$1&gt;$F200),VLOOKUP(K$1-$F200,Tablas!$A$70:$P$83,2+K$5,FALSE),0))*IF($G200="x",2,1)</f>
        <v>0</v>
      </c>
      <c r="L200" s="204">
        <f>(IF(AND($E200&lt;&gt;"",L$1&gt;=$E200),VLOOKUP(L$1-$E200+1,Tablas!$A$70:$P$83,2+L$5,FALSE),0)-IF(AND($F200&lt;&gt;"",L$1&gt;$F200),VLOOKUP(L$1-$F200,Tablas!$A$70:$P$83,2+L$5,FALSE),0))*IF($G200="x",2,1)</f>
        <v>0</v>
      </c>
      <c r="M200" s="204">
        <f>(IF(AND($E200&lt;&gt;"",M$1&gt;=$E200),VLOOKUP(M$1-$E200+1,Tablas!$A$70:$P$83,2+M$5,FALSE),0)-IF(AND($F200&lt;&gt;"",M$1&gt;$F200),VLOOKUP(M$1-$F200,Tablas!$A$70:$P$83,2+M$5,FALSE),0))*IF($G200="x",2,1)</f>
        <v>0</v>
      </c>
      <c r="N200" s="204">
        <f>(IF(AND($E200&lt;&gt;"",N$1&gt;=$E200),VLOOKUP(N$1-$E200+1,Tablas!$A$70:$P$83,2+N$5,FALSE),0)-IF(AND($F200&lt;&gt;"",N$1&gt;$F200),VLOOKUP(N$1-$F200,Tablas!$A$70:$P$83,2+N$5,FALSE),0))*IF($G200="x",2,1)</f>
        <v>0</v>
      </c>
      <c r="O200" s="204">
        <f>(IF(AND($E200&lt;&gt;"",O$1&gt;=$E200),VLOOKUP(O$1-$E200+1,Tablas!$A$70:$P$83,2+O$5,FALSE),0)-IF(AND($F200&lt;&gt;"",O$1&gt;$F200),VLOOKUP(O$1-$F200,Tablas!$A$70:$P$83,2+O$5,FALSE),0))*IF($G200="x",2,1)</f>
        <v>0</v>
      </c>
      <c r="P200" s="204">
        <f>(IF(AND($E200&lt;&gt;"",P$1&gt;=$E200),VLOOKUP(P$1-$E200+1,Tablas!$A$70:$P$83,2+P$5,FALSE),0)-IF(AND($F200&lt;&gt;"",P$1&gt;$F200),VLOOKUP(P$1-$F200,Tablas!$A$70:$P$83,2+P$5,FALSE),0))*IF($G200="x",2,1)</f>
        <v>0</v>
      </c>
      <c r="Q200" s="204">
        <f>(IF(AND($E200&lt;&gt;"",Q$1&gt;=$E200),VLOOKUP(Q$1-$E200+1,Tablas!$A$70:$P$83,2+Q$5,FALSE),0)-IF(AND($F200&lt;&gt;"",Q$1&gt;$F200),VLOOKUP(Q$1-$F200,Tablas!$A$70:$P$83,2+Q$5,FALSE),0))*IF($G200="x",2,1)</f>
        <v>0</v>
      </c>
      <c r="R200" s="204">
        <f>(IF(AND($E200&lt;&gt;"",R$1&gt;=$E200),VLOOKUP(R$1-$E200+1,Tablas!$A$70:$P$83,2+R$5,FALSE),0)-IF(AND($F200&lt;&gt;"",R$1&gt;$F200),VLOOKUP(R$1-$F200,Tablas!$A$70:$P$83,2+R$5,FALSE),0))*IF($G200="x",2,1)</f>
        <v>0</v>
      </c>
      <c r="S200" s="204">
        <f>(IF(AND($E200&lt;&gt;"",S$1&gt;=$E200),VLOOKUP(S$1-$E200+1,Tablas!$A$70:$P$83,2+S$5,FALSE),0)-IF(AND($F200&lt;&gt;"",S$1&gt;$F200),VLOOKUP(S$1-$F200,Tablas!$A$70:$P$83,2+S$5,FALSE),0))*IF($G200="x",2,1)</f>
        <v>0</v>
      </c>
      <c r="T200" s="204">
        <f>(IF(AND($E200&lt;&gt;"",T$1&gt;=$E200),VLOOKUP(T$1-$E200+1,Tablas!$A$70:$P$83,2+T$5,FALSE),0)-IF(AND($F200&lt;&gt;"",T$1&gt;$F200),VLOOKUP(T$1-$F200,Tablas!$A$70:$P$83,2+T$5,FALSE),0))*IF($G200="x",2,1)</f>
        <v>0</v>
      </c>
      <c r="U200" s="204">
        <f>(IF(AND($E200&lt;&gt;"",U$1&gt;=$E200),VLOOKUP(U$1-$E200+1,Tablas!$A$70:$P$83,2+U$5,FALSE),0)-IF(AND($F200&lt;&gt;"",U$1&gt;$F200),VLOOKUP(U$1-$F200,Tablas!$A$70:$P$83,2+U$5,FALSE),0))*IF($G200="x",2,1)</f>
        <v>0</v>
      </c>
      <c r="V200" s="204">
        <f>(IF(AND($E200&lt;&gt;"",V$1&gt;=$E200),VLOOKUP(V$1-$E200+1,Tablas!$A$70:$P$83,2+V$5,FALSE),0)-IF(AND($F200&lt;&gt;"",V$1&gt;$F200),VLOOKUP(V$1-$F200,Tablas!$A$70:$P$83,2+V$5,FALSE),0))*IF($G200="x",2,1)</f>
        <v>0</v>
      </c>
      <c r="W200" s="112">
        <v>4</v>
      </c>
      <c r="X200" s="204"/>
      <c r="Y200" s="29"/>
      <c r="Z200" s="29"/>
      <c r="AA200" s="22"/>
      <c r="AB200" s="22"/>
      <c r="AC200" s="22"/>
      <c r="AD200" s="22"/>
      <c r="AE200" s="22"/>
      <c r="AF200" s="22"/>
      <c r="AG200" s="22"/>
    </row>
    <row r="201" spans="1:33" x14ac:dyDescent="0.2">
      <c r="A201" s="170" t="s">
        <v>104</v>
      </c>
      <c r="B201" s="171" t="s">
        <v>63</v>
      </c>
      <c r="C201" s="293" t="s">
        <v>244</v>
      </c>
      <c r="D201" s="172"/>
      <c r="E201" s="125"/>
      <c r="F201" s="177"/>
      <c r="G201" s="126"/>
      <c r="H201" s="204">
        <f>(IF(AND($E201&lt;&gt;"",H$1&gt;=$E201),VLOOKUP(H$1-$E201+1,Tablas!$A$70:$P$83,2+H$5,FALSE),0)-IF(AND($F201&lt;&gt;"",H$1&gt;$F201),VLOOKUP(H$1-$F201,Tablas!$A$70:$P$83,2+H$5,FALSE),0))*IF($G201="x",2,1)</f>
        <v>0</v>
      </c>
      <c r="I201" s="204">
        <f>(IF(AND($E201&lt;&gt;"",I$1&gt;=$E201),VLOOKUP(I$1-$E201+1,Tablas!$A$70:$P$83,2+I$5,FALSE),0)-IF(AND($F201&lt;&gt;"",I$1&gt;$F201),VLOOKUP(I$1-$F201,Tablas!$A$70:$P$83,2+I$5,FALSE),0))*IF($G201="x",2,1)</f>
        <v>0</v>
      </c>
      <c r="J201" s="204">
        <f>(IF(AND($E201&lt;&gt;"",J$1&gt;=$E201),VLOOKUP(J$1-$E201+1,Tablas!$A$70:$P$83,2+J$5,FALSE),0)-IF(AND($F201&lt;&gt;"",J$1&gt;$F201),VLOOKUP(J$1-$F201,Tablas!$A$70:$P$83,2+J$5,FALSE),0))*IF($G201="x",2,1)</f>
        <v>0</v>
      </c>
      <c r="K201" s="204">
        <f>(IF(AND($E201&lt;&gt;"",K$1&gt;=$E201),VLOOKUP(K$1-$E201+1,Tablas!$A$70:$P$83,2+K$5,FALSE),0)-IF(AND($F201&lt;&gt;"",K$1&gt;$F201),VLOOKUP(K$1-$F201,Tablas!$A$70:$P$83,2+K$5,FALSE),0))*IF($G201="x",2,1)</f>
        <v>0</v>
      </c>
      <c r="L201" s="204">
        <f>(IF(AND($E201&lt;&gt;"",L$1&gt;=$E201),VLOOKUP(L$1-$E201+1,Tablas!$A$70:$P$83,2+L$5,FALSE),0)-IF(AND($F201&lt;&gt;"",L$1&gt;$F201),VLOOKUP(L$1-$F201,Tablas!$A$70:$P$83,2+L$5,FALSE),0))*IF($G201="x",2,1)</f>
        <v>0</v>
      </c>
      <c r="M201" s="204">
        <f>(IF(AND($E201&lt;&gt;"",M$1&gt;=$E201),VLOOKUP(M$1-$E201+1,Tablas!$A$70:$P$83,2+M$5,FALSE),0)-IF(AND($F201&lt;&gt;"",M$1&gt;$F201),VLOOKUP(M$1-$F201,Tablas!$A$70:$P$83,2+M$5,FALSE),0))*IF($G201="x",2,1)</f>
        <v>0</v>
      </c>
      <c r="N201" s="204">
        <f>(IF(AND($E201&lt;&gt;"",N$1&gt;=$E201),VLOOKUP(N$1-$E201+1,Tablas!$A$70:$P$83,2+N$5,FALSE),0)-IF(AND($F201&lt;&gt;"",N$1&gt;$F201),VLOOKUP(N$1-$F201,Tablas!$A$70:$P$83,2+N$5,FALSE),0))*IF($G201="x",2,1)</f>
        <v>0</v>
      </c>
      <c r="O201" s="204">
        <f>(IF(AND($E201&lt;&gt;"",O$1&gt;=$E201),VLOOKUP(O$1-$E201+1,Tablas!$A$70:$P$83,2+O$5,FALSE),0)-IF(AND($F201&lt;&gt;"",O$1&gt;$F201),VLOOKUP(O$1-$F201,Tablas!$A$70:$P$83,2+O$5,FALSE),0))*IF($G201="x",2,1)</f>
        <v>0</v>
      </c>
      <c r="P201" s="204">
        <f>(IF(AND($E201&lt;&gt;"",P$1&gt;=$E201),VLOOKUP(P$1-$E201+1,Tablas!$A$70:$P$83,2+P$5,FALSE),0)-IF(AND($F201&lt;&gt;"",P$1&gt;$F201),VLOOKUP(P$1-$F201,Tablas!$A$70:$P$83,2+P$5,FALSE),0))*IF($G201="x",2,1)</f>
        <v>0</v>
      </c>
      <c r="Q201" s="204">
        <f>(IF(AND($E201&lt;&gt;"",Q$1&gt;=$E201),VLOOKUP(Q$1-$E201+1,Tablas!$A$70:$P$83,2+Q$5,FALSE),0)-IF(AND($F201&lt;&gt;"",Q$1&gt;$F201),VLOOKUP(Q$1-$F201,Tablas!$A$70:$P$83,2+Q$5,FALSE),0))*IF($G201="x",2,1)</f>
        <v>0</v>
      </c>
      <c r="R201" s="204">
        <f>(IF(AND($E201&lt;&gt;"",R$1&gt;=$E201),VLOOKUP(R$1-$E201+1,Tablas!$A$70:$P$83,2+R$5,FALSE),0)-IF(AND($F201&lt;&gt;"",R$1&gt;$F201),VLOOKUP(R$1-$F201,Tablas!$A$70:$P$83,2+R$5,FALSE),0))*IF($G201="x",2,1)</f>
        <v>0</v>
      </c>
      <c r="S201" s="204">
        <f>(IF(AND($E201&lt;&gt;"",S$1&gt;=$E201),VLOOKUP(S$1-$E201+1,Tablas!$A$70:$P$83,2+S$5,FALSE),0)-IF(AND($F201&lt;&gt;"",S$1&gt;$F201),VLOOKUP(S$1-$F201,Tablas!$A$70:$P$83,2+S$5,FALSE),0))*IF($G201="x",2,1)</f>
        <v>0</v>
      </c>
      <c r="T201" s="204">
        <f>(IF(AND($E201&lt;&gt;"",T$1&gt;=$E201),VLOOKUP(T$1-$E201+1,Tablas!$A$70:$P$83,2+T$5,FALSE),0)-IF(AND($F201&lt;&gt;"",T$1&gt;$F201),VLOOKUP(T$1-$F201,Tablas!$A$70:$P$83,2+T$5,FALSE),0))*IF($G201="x",2,1)</f>
        <v>0</v>
      </c>
      <c r="U201" s="204">
        <f>(IF(AND($E201&lt;&gt;"",U$1&gt;=$E201),VLOOKUP(U$1-$E201+1,Tablas!$A$70:$P$83,2+U$5,FALSE),0)-IF(AND($F201&lt;&gt;"",U$1&gt;$F201),VLOOKUP(U$1-$F201,Tablas!$A$70:$P$83,2+U$5,FALSE),0))*IF($G201="x",2,1)</f>
        <v>0</v>
      </c>
      <c r="V201" s="204">
        <f>(IF(AND($E201&lt;&gt;"",V$1&gt;=$E201),VLOOKUP(V$1-$E201+1,Tablas!$A$70:$P$83,2+V$5,FALSE),0)-IF(AND($F201&lt;&gt;"",V$1&gt;$F201),VLOOKUP(V$1-$F201,Tablas!$A$70:$P$83,2+V$5,FALSE),0))*IF($G201="x",2,1)</f>
        <v>0</v>
      </c>
      <c r="W201" s="112">
        <v>5</v>
      </c>
      <c r="X201" s="204"/>
      <c r="Y201" s="29"/>
      <c r="Z201" s="29"/>
      <c r="AA201" s="22"/>
      <c r="AB201" s="22"/>
      <c r="AC201" s="22"/>
      <c r="AD201" s="22"/>
      <c r="AE201" s="22"/>
      <c r="AF201" s="22"/>
      <c r="AG201" s="22"/>
    </row>
    <row r="202" spans="1:33" x14ac:dyDescent="0.2">
      <c r="A202" s="170" t="s">
        <v>104</v>
      </c>
      <c r="B202" s="171" t="s">
        <v>64</v>
      </c>
      <c r="C202" s="293" t="s">
        <v>244</v>
      </c>
      <c r="D202" s="172"/>
      <c r="E202" s="125"/>
      <c r="F202" s="177"/>
      <c r="G202" s="126"/>
      <c r="H202" s="204">
        <f>(IF(AND($E202&lt;&gt;"",H$1&gt;=$E202),VLOOKUP(H$1-$E202+1,Tablas!$A$70:$P$83,2+H$5,FALSE),0)-IF(AND($F202&lt;&gt;"",H$1&gt;$F202),VLOOKUP(H$1-$F202,Tablas!$A$70:$P$83,2+H$5,FALSE),0))*IF($G202="x",2,1)</f>
        <v>0</v>
      </c>
      <c r="I202" s="204">
        <f>(IF(AND($E202&lt;&gt;"",I$1&gt;=$E202),VLOOKUP(I$1-$E202+1,Tablas!$A$70:$P$83,2+I$5,FALSE),0)-IF(AND($F202&lt;&gt;"",I$1&gt;$F202),VLOOKUP(I$1-$F202,Tablas!$A$70:$P$83,2+I$5,FALSE),0))*IF($G202="x",2,1)</f>
        <v>0</v>
      </c>
      <c r="J202" s="204">
        <f>(IF(AND($E202&lt;&gt;"",J$1&gt;=$E202),VLOOKUP(J$1-$E202+1,Tablas!$A$70:$P$83,2+J$5,FALSE),0)-IF(AND($F202&lt;&gt;"",J$1&gt;$F202),VLOOKUP(J$1-$F202,Tablas!$A$70:$P$83,2+J$5,FALSE),0))*IF($G202="x",2,1)</f>
        <v>0</v>
      </c>
      <c r="K202" s="204">
        <f>(IF(AND($E202&lt;&gt;"",K$1&gt;=$E202),VLOOKUP(K$1-$E202+1,Tablas!$A$70:$P$83,2+K$5,FALSE),0)-IF(AND($F202&lt;&gt;"",K$1&gt;$F202),VLOOKUP(K$1-$F202,Tablas!$A$70:$P$83,2+K$5,FALSE),0))*IF($G202="x",2,1)</f>
        <v>0</v>
      </c>
      <c r="L202" s="204">
        <f>(IF(AND($E202&lt;&gt;"",L$1&gt;=$E202),VLOOKUP(L$1-$E202+1,Tablas!$A$70:$P$83,2+L$5,FALSE),0)-IF(AND($F202&lt;&gt;"",L$1&gt;$F202),VLOOKUP(L$1-$F202,Tablas!$A$70:$P$83,2+L$5,FALSE),0))*IF($G202="x",2,1)</f>
        <v>0</v>
      </c>
      <c r="M202" s="204">
        <f>(IF(AND($E202&lt;&gt;"",M$1&gt;=$E202),VLOOKUP(M$1-$E202+1,Tablas!$A$70:$P$83,2+M$5,FALSE),0)-IF(AND($F202&lt;&gt;"",M$1&gt;$F202),VLOOKUP(M$1-$F202,Tablas!$A$70:$P$83,2+M$5,FALSE),0))*IF($G202="x",2,1)</f>
        <v>0</v>
      </c>
      <c r="N202" s="204">
        <f>(IF(AND($E202&lt;&gt;"",N$1&gt;=$E202),VLOOKUP(N$1-$E202+1,Tablas!$A$70:$P$83,2+N$5,FALSE),0)-IF(AND($F202&lt;&gt;"",N$1&gt;$F202),VLOOKUP(N$1-$F202,Tablas!$A$70:$P$83,2+N$5,FALSE),0))*IF($G202="x",2,1)</f>
        <v>0</v>
      </c>
      <c r="O202" s="204">
        <f>(IF(AND($E202&lt;&gt;"",O$1&gt;=$E202),VLOOKUP(O$1-$E202+1,Tablas!$A$70:$P$83,2+O$5,FALSE),0)-IF(AND($F202&lt;&gt;"",O$1&gt;$F202),VLOOKUP(O$1-$F202,Tablas!$A$70:$P$83,2+O$5,FALSE),0))*IF($G202="x",2,1)</f>
        <v>0</v>
      </c>
      <c r="P202" s="204">
        <f>(IF(AND($E202&lt;&gt;"",P$1&gt;=$E202),VLOOKUP(P$1-$E202+1,Tablas!$A$70:$P$83,2+P$5,FALSE),0)-IF(AND($F202&lt;&gt;"",P$1&gt;$F202),VLOOKUP(P$1-$F202,Tablas!$A$70:$P$83,2+P$5,FALSE),0))*IF($G202="x",2,1)</f>
        <v>0</v>
      </c>
      <c r="Q202" s="204">
        <f>(IF(AND($E202&lt;&gt;"",Q$1&gt;=$E202),VLOOKUP(Q$1-$E202+1,Tablas!$A$70:$P$83,2+Q$5,FALSE),0)-IF(AND($F202&lt;&gt;"",Q$1&gt;$F202),VLOOKUP(Q$1-$F202,Tablas!$A$70:$P$83,2+Q$5,FALSE),0))*IF($G202="x",2,1)</f>
        <v>0</v>
      </c>
      <c r="R202" s="204">
        <f>(IF(AND($E202&lt;&gt;"",R$1&gt;=$E202),VLOOKUP(R$1-$E202+1,Tablas!$A$70:$P$83,2+R$5,FALSE),0)-IF(AND($F202&lt;&gt;"",R$1&gt;$F202),VLOOKUP(R$1-$F202,Tablas!$A$70:$P$83,2+R$5,FALSE),0))*IF($G202="x",2,1)</f>
        <v>0</v>
      </c>
      <c r="S202" s="204">
        <f>(IF(AND($E202&lt;&gt;"",S$1&gt;=$E202),VLOOKUP(S$1-$E202+1,Tablas!$A$70:$P$83,2+S$5,FALSE),0)-IF(AND($F202&lt;&gt;"",S$1&gt;$F202),VLOOKUP(S$1-$F202,Tablas!$A$70:$P$83,2+S$5,FALSE),0))*IF($G202="x",2,1)</f>
        <v>0</v>
      </c>
      <c r="T202" s="204">
        <f>(IF(AND($E202&lt;&gt;"",T$1&gt;=$E202),VLOOKUP(T$1-$E202+1,Tablas!$A$70:$P$83,2+T$5,FALSE),0)-IF(AND($F202&lt;&gt;"",T$1&gt;$F202),VLOOKUP(T$1-$F202,Tablas!$A$70:$P$83,2+T$5,FALSE),0))*IF($G202="x",2,1)</f>
        <v>0</v>
      </c>
      <c r="U202" s="204">
        <f>(IF(AND($E202&lt;&gt;"",U$1&gt;=$E202),VLOOKUP(U$1-$E202+1,Tablas!$A$70:$P$83,2+U$5,FALSE),0)-IF(AND($F202&lt;&gt;"",U$1&gt;$F202),VLOOKUP(U$1-$F202,Tablas!$A$70:$P$83,2+U$5,FALSE),0))*IF($G202="x",2,1)</f>
        <v>0</v>
      </c>
      <c r="V202" s="204">
        <f>(IF(AND($E202&lt;&gt;"",V$1&gt;=$E202),VLOOKUP(V$1-$E202+1,Tablas!$A$70:$P$83,2+V$5,FALSE),0)-IF(AND($F202&lt;&gt;"",V$1&gt;$F202),VLOOKUP(V$1-$F202,Tablas!$A$70:$P$83,2+V$5,FALSE),0))*IF($G202="x",2,1)</f>
        <v>0</v>
      </c>
      <c r="W202" s="112">
        <v>6</v>
      </c>
      <c r="X202" s="204"/>
      <c r="Y202" s="29"/>
      <c r="Z202" s="29"/>
      <c r="AA202" s="22"/>
      <c r="AB202" s="22"/>
      <c r="AC202" s="22"/>
      <c r="AD202" s="22"/>
      <c r="AE202" s="22"/>
      <c r="AF202" s="22"/>
      <c r="AG202" s="22"/>
    </row>
    <row r="203" spans="1:33" x14ac:dyDescent="0.2">
      <c r="A203" s="170" t="s">
        <v>104</v>
      </c>
      <c r="B203" s="171" t="s">
        <v>65</v>
      </c>
      <c r="C203" s="293" t="s">
        <v>244</v>
      </c>
      <c r="D203" s="172"/>
      <c r="E203" s="125"/>
      <c r="F203" s="177"/>
      <c r="G203" s="126"/>
      <c r="H203" s="204">
        <f>(IF(AND($E203&lt;&gt;"",H$1&gt;=$E203),VLOOKUP(H$1-$E203+1,Tablas!$A$70:$P$83,2+H$5,FALSE),0)-IF(AND($F203&lt;&gt;"",H$1&gt;$F203),VLOOKUP(H$1-$F203,Tablas!$A$70:$P$83,2+H$5,FALSE),0))*IF($G203="x",2,1)</f>
        <v>0</v>
      </c>
      <c r="I203" s="204">
        <f>(IF(AND($E203&lt;&gt;"",I$1&gt;=$E203),VLOOKUP(I$1-$E203+1,Tablas!$A$70:$P$83,2+I$5,FALSE),0)-IF(AND($F203&lt;&gt;"",I$1&gt;$F203),VLOOKUP(I$1-$F203,Tablas!$A$70:$P$83,2+I$5,FALSE),0))*IF($G203="x",2,1)</f>
        <v>0</v>
      </c>
      <c r="J203" s="204">
        <f>(IF(AND($E203&lt;&gt;"",J$1&gt;=$E203),VLOOKUP(J$1-$E203+1,Tablas!$A$70:$P$83,2+J$5,FALSE),0)-IF(AND($F203&lt;&gt;"",J$1&gt;$F203),VLOOKUP(J$1-$F203,Tablas!$A$70:$P$83,2+J$5,FALSE),0))*IF($G203="x",2,1)</f>
        <v>0</v>
      </c>
      <c r="K203" s="204">
        <f>(IF(AND($E203&lt;&gt;"",K$1&gt;=$E203),VLOOKUP(K$1-$E203+1,Tablas!$A$70:$P$83,2+K$5,FALSE),0)-IF(AND($F203&lt;&gt;"",K$1&gt;$F203),VLOOKUP(K$1-$F203,Tablas!$A$70:$P$83,2+K$5,FALSE),0))*IF($G203="x",2,1)</f>
        <v>0</v>
      </c>
      <c r="L203" s="204">
        <f>(IF(AND($E203&lt;&gt;"",L$1&gt;=$E203),VLOOKUP(L$1-$E203+1,Tablas!$A$70:$P$83,2+L$5,FALSE),0)-IF(AND($F203&lt;&gt;"",L$1&gt;$F203),VLOOKUP(L$1-$F203,Tablas!$A$70:$P$83,2+L$5,FALSE),0))*IF($G203="x",2,1)</f>
        <v>0</v>
      </c>
      <c r="M203" s="204">
        <f>(IF(AND($E203&lt;&gt;"",M$1&gt;=$E203),VLOOKUP(M$1-$E203+1,Tablas!$A$70:$P$83,2+M$5,FALSE),0)-IF(AND($F203&lt;&gt;"",M$1&gt;$F203),VLOOKUP(M$1-$F203,Tablas!$A$70:$P$83,2+M$5,FALSE),0))*IF($G203="x",2,1)</f>
        <v>0</v>
      </c>
      <c r="N203" s="204">
        <f>(IF(AND($E203&lt;&gt;"",N$1&gt;=$E203),VLOOKUP(N$1-$E203+1,Tablas!$A$70:$P$83,2+N$5,FALSE),0)-IF(AND($F203&lt;&gt;"",N$1&gt;$F203),VLOOKUP(N$1-$F203,Tablas!$A$70:$P$83,2+N$5,FALSE),0))*IF($G203="x",2,1)</f>
        <v>0</v>
      </c>
      <c r="O203" s="204">
        <f>(IF(AND($E203&lt;&gt;"",O$1&gt;=$E203),VLOOKUP(O$1-$E203+1,Tablas!$A$70:$P$83,2+O$5,FALSE),0)-IF(AND($F203&lt;&gt;"",O$1&gt;$F203),VLOOKUP(O$1-$F203,Tablas!$A$70:$P$83,2+O$5,FALSE),0))*IF($G203="x",2,1)</f>
        <v>0</v>
      </c>
      <c r="P203" s="204">
        <f>(IF(AND($E203&lt;&gt;"",P$1&gt;=$E203),VLOOKUP(P$1-$E203+1,Tablas!$A$70:$P$83,2+P$5,FALSE),0)-IF(AND($F203&lt;&gt;"",P$1&gt;$F203),VLOOKUP(P$1-$F203,Tablas!$A$70:$P$83,2+P$5,FALSE),0))*IF($G203="x",2,1)</f>
        <v>0</v>
      </c>
      <c r="Q203" s="204">
        <f>(IF(AND($E203&lt;&gt;"",Q$1&gt;=$E203),VLOOKUP(Q$1-$E203+1,Tablas!$A$70:$P$83,2+Q$5,FALSE),0)-IF(AND($F203&lt;&gt;"",Q$1&gt;$F203),VLOOKUP(Q$1-$F203,Tablas!$A$70:$P$83,2+Q$5,FALSE),0))*IF($G203="x",2,1)</f>
        <v>0</v>
      </c>
      <c r="R203" s="204">
        <f>(IF(AND($E203&lt;&gt;"",R$1&gt;=$E203),VLOOKUP(R$1-$E203+1,Tablas!$A$70:$P$83,2+R$5,FALSE),0)-IF(AND($F203&lt;&gt;"",R$1&gt;$F203),VLOOKUP(R$1-$F203,Tablas!$A$70:$P$83,2+R$5,FALSE),0))*IF($G203="x",2,1)</f>
        <v>0</v>
      </c>
      <c r="S203" s="204">
        <f>(IF(AND($E203&lt;&gt;"",S$1&gt;=$E203),VLOOKUP(S$1-$E203+1,Tablas!$A$70:$P$83,2+S$5,FALSE),0)-IF(AND($F203&lt;&gt;"",S$1&gt;$F203),VLOOKUP(S$1-$F203,Tablas!$A$70:$P$83,2+S$5,FALSE),0))*IF($G203="x",2,1)</f>
        <v>0</v>
      </c>
      <c r="T203" s="204">
        <f>(IF(AND($E203&lt;&gt;"",T$1&gt;=$E203),VLOOKUP(T$1-$E203+1,Tablas!$A$70:$P$83,2+T$5,FALSE),0)-IF(AND($F203&lt;&gt;"",T$1&gt;$F203),VLOOKUP(T$1-$F203,Tablas!$A$70:$P$83,2+T$5,FALSE),0))*IF($G203="x",2,1)</f>
        <v>0</v>
      </c>
      <c r="U203" s="204">
        <f>(IF(AND($E203&lt;&gt;"",U$1&gt;=$E203),VLOOKUP(U$1-$E203+1,Tablas!$A$70:$P$83,2+U$5,FALSE),0)-IF(AND($F203&lt;&gt;"",U$1&gt;$F203),VLOOKUP(U$1-$F203,Tablas!$A$70:$P$83,2+U$5,FALSE),0))*IF($G203="x",2,1)</f>
        <v>0</v>
      </c>
      <c r="V203" s="204">
        <f>(IF(AND($E203&lt;&gt;"",V$1&gt;=$E203),VLOOKUP(V$1-$E203+1,Tablas!$A$70:$P$83,2+V$5,FALSE),0)-IF(AND($F203&lt;&gt;"",V$1&gt;$F203),VLOOKUP(V$1-$F203,Tablas!$A$70:$P$83,2+V$5,FALSE),0))*IF($G203="x",2,1)</f>
        <v>0</v>
      </c>
      <c r="W203" s="112">
        <v>7</v>
      </c>
      <c r="X203" s="204"/>
      <c r="Y203" s="29"/>
      <c r="Z203" s="29"/>
      <c r="AA203" s="22"/>
      <c r="AB203" s="22"/>
      <c r="AC203" s="22"/>
      <c r="AD203" s="22"/>
      <c r="AE203" s="22"/>
      <c r="AF203" s="22"/>
      <c r="AG203" s="22"/>
    </row>
    <row r="204" spans="1:33" x14ac:dyDescent="0.2">
      <c r="A204" s="170" t="s">
        <v>104</v>
      </c>
      <c r="B204" s="171" t="s">
        <v>66</v>
      </c>
      <c r="C204" s="293" t="s">
        <v>244</v>
      </c>
      <c r="D204" s="172"/>
      <c r="E204" s="125"/>
      <c r="F204" s="177"/>
      <c r="G204" s="126"/>
      <c r="H204" s="204">
        <f>(IF(AND($E204&lt;&gt;"",H$1&gt;=$E204),VLOOKUP(H$1-$E204+1,Tablas!$A$70:$P$83,2+H$5,FALSE),0)-IF(AND($F204&lt;&gt;"",H$1&gt;$F204),VLOOKUP(H$1-$F204,Tablas!$A$70:$P$83,2+H$5,FALSE),0))*IF($G204="x",2,1)</f>
        <v>0</v>
      </c>
      <c r="I204" s="204">
        <f>(IF(AND($E204&lt;&gt;"",I$1&gt;=$E204),VLOOKUP(I$1-$E204+1,Tablas!$A$70:$P$83,2+I$5,FALSE),0)-IF(AND($F204&lt;&gt;"",I$1&gt;$F204),VLOOKUP(I$1-$F204,Tablas!$A$70:$P$83,2+I$5,FALSE),0))*IF($G204="x",2,1)</f>
        <v>0</v>
      </c>
      <c r="J204" s="204">
        <f>(IF(AND($E204&lt;&gt;"",J$1&gt;=$E204),VLOOKUP(J$1-$E204+1,Tablas!$A$70:$P$83,2+J$5,FALSE),0)-IF(AND($F204&lt;&gt;"",J$1&gt;$F204),VLOOKUP(J$1-$F204,Tablas!$A$70:$P$83,2+J$5,FALSE),0))*IF($G204="x",2,1)</f>
        <v>0</v>
      </c>
      <c r="K204" s="204">
        <f>(IF(AND($E204&lt;&gt;"",K$1&gt;=$E204),VLOOKUP(K$1-$E204+1,Tablas!$A$70:$P$83,2+K$5,FALSE),0)-IF(AND($F204&lt;&gt;"",K$1&gt;$F204),VLOOKUP(K$1-$F204,Tablas!$A$70:$P$83,2+K$5,FALSE),0))*IF($G204="x",2,1)</f>
        <v>0</v>
      </c>
      <c r="L204" s="204">
        <f>(IF(AND($E204&lt;&gt;"",L$1&gt;=$E204),VLOOKUP(L$1-$E204+1,Tablas!$A$70:$P$83,2+L$5,FALSE),0)-IF(AND($F204&lt;&gt;"",L$1&gt;$F204),VLOOKUP(L$1-$F204,Tablas!$A$70:$P$83,2+L$5,FALSE),0))*IF($G204="x",2,1)</f>
        <v>0</v>
      </c>
      <c r="M204" s="204">
        <f>(IF(AND($E204&lt;&gt;"",M$1&gt;=$E204),VLOOKUP(M$1-$E204+1,Tablas!$A$70:$P$83,2+M$5,FALSE),0)-IF(AND($F204&lt;&gt;"",M$1&gt;$F204),VLOOKUP(M$1-$F204,Tablas!$A$70:$P$83,2+M$5,FALSE),0))*IF($G204="x",2,1)</f>
        <v>0</v>
      </c>
      <c r="N204" s="204">
        <f>(IF(AND($E204&lt;&gt;"",N$1&gt;=$E204),VLOOKUP(N$1-$E204+1,Tablas!$A$70:$P$83,2+N$5,FALSE),0)-IF(AND($F204&lt;&gt;"",N$1&gt;$F204),VLOOKUP(N$1-$F204,Tablas!$A$70:$P$83,2+N$5,FALSE),0))*IF($G204="x",2,1)</f>
        <v>0</v>
      </c>
      <c r="O204" s="204">
        <f>(IF(AND($E204&lt;&gt;"",O$1&gt;=$E204),VLOOKUP(O$1-$E204+1,Tablas!$A$70:$P$83,2+O$5,FALSE),0)-IF(AND($F204&lt;&gt;"",O$1&gt;$F204),VLOOKUP(O$1-$F204,Tablas!$A$70:$P$83,2+O$5,FALSE),0))*IF($G204="x",2,1)</f>
        <v>0</v>
      </c>
      <c r="P204" s="204">
        <f>(IF(AND($E204&lt;&gt;"",P$1&gt;=$E204),VLOOKUP(P$1-$E204+1,Tablas!$A$70:$P$83,2+P$5,FALSE),0)-IF(AND($F204&lt;&gt;"",P$1&gt;$F204),VLOOKUP(P$1-$F204,Tablas!$A$70:$P$83,2+P$5,FALSE),0))*IF($G204="x",2,1)</f>
        <v>0</v>
      </c>
      <c r="Q204" s="204">
        <f>(IF(AND($E204&lt;&gt;"",Q$1&gt;=$E204),VLOOKUP(Q$1-$E204+1,Tablas!$A$70:$P$83,2+Q$5,FALSE),0)-IF(AND($F204&lt;&gt;"",Q$1&gt;$F204),VLOOKUP(Q$1-$F204,Tablas!$A$70:$P$83,2+Q$5,FALSE),0))*IF($G204="x",2,1)</f>
        <v>0</v>
      </c>
      <c r="R204" s="204">
        <f>(IF(AND($E204&lt;&gt;"",R$1&gt;=$E204),VLOOKUP(R$1-$E204+1,Tablas!$A$70:$P$83,2+R$5,FALSE),0)-IF(AND($F204&lt;&gt;"",R$1&gt;$F204),VLOOKUP(R$1-$F204,Tablas!$A$70:$P$83,2+R$5,FALSE),0))*IF($G204="x",2,1)</f>
        <v>0</v>
      </c>
      <c r="S204" s="204">
        <f>(IF(AND($E204&lt;&gt;"",S$1&gt;=$E204),VLOOKUP(S$1-$E204+1,Tablas!$A$70:$P$83,2+S$5,FALSE),0)-IF(AND($F204&lt;&gt;"",S$1&gt;$F204),VLOOKUP(S$1-$F204,Tablas!$A$70:$P$83,2+S$5,FALSE),0))*IF($G204="x",2,1)</f>
        <v>0</v>
      </c>
      <c r="T204" s="204">
        <f>(IF(AND($E204&lt;&gt;"",T$1&gt;=$E204),VLOOKUP(T$1-$E204+1,Tablas!$A$70:$P$83,2+T$5,FALSE),0)-IF(AND($F204&lt;&gt;"",T$1&gt;$F204),VLOOKUP(T$1-$F204,Tablas!$A$70:$P$83,2+T$5,FALSE),0))*IF($G204="x",2,1)</f>
        <v>0</v>
      </c>
      <c r="U204" s="204">
        <f>(IF(AND($E204&lt;&gt;"",U$1&gt;=$E204),VLOOKUP(U$1-$E204+1,Tablas!$A$70:$P$83,2+U$5,FALSE),0)-IF(AND($F204&lt;&gt;"",U$1&gt;$F204),VLOOKUP(U$1-$F204,Tablas!$A$70:$P$83,2+U$5,FALSE),0))*IF($G204="x",2,1)</f>
        <v>0</v>
      </c>
      <c r="V204" s="204">
        <f>(IF(AND($E204&lt;&gt;"",V$1&gt;=$E204),VLOOKUP(V$1-$E204+1,Tablas!$A$70:$P$83,2+V$5,FALSE),0)-IF(AND($F204&lt;&gt;"",V$1&gt;$F204),VLOOKUP(V$1-$F204,Tablas!$A$70:$P$83,2+V$5,FALSE),0))*IF($G204="x",2,1)</f>
        <v>0</v>
      </c>
      <c r="W204" s="112">
        <v>8</v>
      </c>
      <c r="X204" s="204"/>
      <c r="Y204" s="29"/>
      <c r="Z204" s="29"/>
      <c r="AA204" s="22"/>
      <c r="AB204" s="22"/>
      <c r="AC204" s="22"/>
      <c r="AD204" s="22"/>
      <c r="AE204" s="22"/>
      <c r="AF204" s="22"/>
      <c r="AG204" s="22"/>
    </row>
    <row r="205" spans="1:33" x14ac:dyDescent="0.2">
      <c r="A205" s="170" t="s">
        <v>104</v>
      </c>
      <c r="B205" s="171" t="s">
        <v>67</v>
      </c>
      <c r="C205" s="293" t="s">
        <v>244</v>
      </c>
      <c r="D205" s="172"/>
      <c r="E205" s="125"/>
      <c r="F205" s="177"/>
      <c r="G205" s="126"/>
      <c r="H205" s="204">
        <f>(IF(AND($E205&lt;&gt;"",H$1&gt;=$E205),VLOOKUP(H$1-$E205+1,Tablas!$A$70:$P$83,2+H$5,FALSE),0)-IF(AND($F205&lt;&gt;"",H$1&gt;$F205),VLOOKUP(H$1-$F205,Tablas!$A$70:$P$83,2+H$5,FALSE),0))*IF($G205="x",2,1)</f>
        <v>0</v>
      </c>
      <c r="I205" s="204">
        <f>(IF(AND($E205&lt;&gt;"",I$1&gt;=$E205),VLOOKUP(I$1-$E205+1,Tablas!$A$70:$P$83,2+I$5,FALSE),0)-IF(AND($F205&lt;&gt;"",I$1&gt;$F205),VLOOKUP(I$1-$F205,Tablas!$A$70:$P$83,2+I$5,FALSE),0))*IF($G205="x",2,1)</f>
        <v>0</v>
      </c>
      <c r="J205" s="204">
        <f>(IF(AND($E205&lt;&gt;"",J$1&gt;=$E205),VLOOKUP(J$1-$E205+1,Tablas!$A$70:$P$83,2+J$5,FALSE),0)-IF(AND($F205&lt;&gt;"",J$1&gt;$F205),VLOOKUP(J$1-$F205,Tablas!$A$70:$P$83,2+J$5,FALSE),0))*IF($G205="x",2,1)</f>
        <v>0</v>
      </c>
      <c r="K205" s="204">
        <f>(IF(AND($E205&lt;&gt;"",K$1&gt;=$E205),VLOOKUP(K$1-$E205+1,Tablas!$A$70:$P$83,2+K$5,FALSE),0)-IF(AND($F205&lt;&gt;"",K$1&gt;$F205),VLOOKUP(K$1-$F205,Tablas!$A$70:$P$83,2+K$5,FALSE),0))*IF($G205="x",2,1)</f>
        <v>0</v>
      </c>
      <c r="L205" s="204">
        <f>(IF(AND($E205&lt;&gt;"",L$1&gt;=$E205),VLOOKUP(L$1-$E205+1,Tablas!$A$70:$P$83,2+L$5,FALSE),0)-IF(AND($F205&lt;&gt;"",L$1&gt;$F205),VLOOKUP(L$1-$F205,Tablas!$A$70:$P$83,2+L$5,FALSE),0))*IF($G205="x",2,1)</f>
        <v>0</v>
      </c>
      <c r="M205" s="204">
        <f>(IF(AND($E205&lt;&gt;"",M$1&gt;=$E205),VLOOKUP(M$1-$E205+1,Tablas!$A$70:$P$83,2+M$5,FALSE),0)-IF(AND($F205&lt;&gt;"",M$1&gt;$F205),VLOOKUP(M$1-$F205,Tablas!$A$70:$P$83,2+M$5,FALSE),0))*IF($G205="x",2,1)</f>
        <v>0</v>
      </c>
      <c r="N205" s="204">
        <f>(IF(AND($E205&lt;&gt;"",N$1&gt;=$E205),VLOOKUP(N$1-$E205+1,Tablas!$A$70:$P$83,2+N$5,FALSE),0)-IF(AND($F205&lt;&gt;"",N$1&gt;$F205),VLOOKUP(N$1-$F205,Tablas!$A$70:$P$83,2+N$5,FALSE),0))*IF($G205="x",2,1)</f>
        <v>0</v>
      </c>
      <c r="O205" s="204">
        <f>(IF(AND($E205&lt;&gt;"",O$1&gt;=$E205),VLOOKUP(O$1-$E205+1,Tablas!$A$70:$P$83,2+O$5,FALSE),0)-IF(AND($F205&lt;&gt;"",O$1&gt;$F205),VLOOKUP(O$1-$F205,Tablas!$A$70:$P$83,2+O$5,FALSE),0))*IF($G205="x",2,1)</f>
        <v>0</v>
      </c>
      <c r="P205" s="204">
        <f>(IF(AND($E205&lt;&gt;"",P$1&gt;=$E205),VLOOKUP(P$1-$E205+1,Tablas!$A$70:$P$83,2+P$5,FALSE),0)-IF(AND($F205&lt;&gt;"",P$1&gt;$F205),VLOOKUP(P$1-$F205,Tablas!$A$70:$P$83,2+P$5,FALSE),0))*IF($G205="x",2,1)</f>
        <v>0</v>
      </c>
      <c r="Q205" s="204">
        <f>(IF(AND($E205&lt;&gt;"",Q$1&gt;=$E205),VLOOKUP(Q$1-$E205+1,Tablas!$A$70:$P$83,2+Q$5,FALSE),0)-IF(AND($F205&lt;&gt;"",Q$1&gt;$F205),VLOOKUP(Q$1-$F205,Tablas!$A$70:$P$83,2+Q$5,FALSE),0))*IF($G205="x",2,1)</f>
        <v>0</v>
      </c>
      <c r="R205" s="204">
        <f>(IF(AND($E205&lt;&gt;"",R$1&gt;=$E205),VLOOKUP(R$1-$E205+1,Tablas!$A$70:$P$83,2+R$5,FALSE),0)-IF(AND($F205&lt;&gt;"",R$1&gt;$F205),VLOOKUP(R$1-$F205,Tablas!$A$70:$P$83,2+R$5,FALSE),0))*IF($G205="x",2,1)</f>
        <v>0</v>
      </c>
      <c r="S205" s="204">
        <f>(IF(AND($E205&lt;&gt;"",S$1&gt;=$E205),VLOOKUP(S$1-$E205+1,Tablas!$A$70:$P$83,2+S$5,FALSE),0)-IF(AND($F205&lt;&gt;"",S$1&gt;$F205),VLOOKUP(S$1-$F205,Tablas!$A$70:$P$83,2+S$5,FALSE),0))*IF($G205="x",2,1)</f>
        <v>0</v>
      </c>
      <c r="T205" s="204">
        <f>(IF(AND($E205&lt;&gt;"",T$1&gt;=$E205),VLOOKUP(T$1-$E205+1,Tablas!$A$70:$P$83,2+T$5,FALSE),0)-IF(AND($F205&lt;&gt;"",T$1&gt;$F205),VLOOKUP(T$1-$F205,Tablas!$A$70:$P$83,2+T$5,FALSE),0))*IF($G205="x",2,1)</f>
        <v>0</v>
      </c>
      <c r="U205" s="204">
        <f>(IF(AND($E205&lt;&gt;"",U$1&gt;=$E205),VLOOKUP(U$1-$E205+1,Tablas!$A$70:$P$83,2+U$5,FALSE),0)-IF(AND($F205&lt;&gt;"",U$1&gt;$F205),VLOOKUP(U$1-$F205,Tablas!$A$70:$P$83,2+U$5,FALSE),0))*IF($G205="x",2,1)</f>
        <v>0</v>
      </c>
      <c r="V205" s="204">
        <f>(IF(AND($E205&lt;&gt;"",V$1&gt;=$E205),VLOOKUP(V$1-$E205+1,Tablas!$A$70:$P$83,2+V$5,FALSE),0)-IF(AND($F205&lt;&gt;"",V$1&gt;$F205),VLOOKUP(V$1-$F205,Tablas!$A$70:$P$83,2+V$5,FALSE),0))*IF($G205="x",2,1)</f>
        <v>0</v>
      </c>
      <c r="W205" s="112">
        <v>9</v>
      </c>
      <c r="X205" s="204"/>
      <c r="Y205" s="29"/>
      <c r="Z205" s="29"/>
      <c r="AA205" s="22"/>
      <c r="AB205" s="22"/>
      <c r="AC205" s="22"/>
      <c r="AD205" s="22"/>
      <c r="AE205" s="22"/>
      <c r="AF205" s="22"/>
      <c r="AG205" s="22"/>
    </row>
    <row r="206" spans="1:33" x14ac:dyDescent="0.2">
      <c r="A206" s="170" t="s">
        <v>104</v>
      </c>
      <c r="B206" s="171" t="s">
        <v>68</v>
      </c>
      <c r="C206" s="293" t="s">
        <v>244</v>
      </c>
      <c r="D206" s="172"/>
      <c r="E206" s="125"/>
      <c r="F206" s="177"/>
      <c r="G206" s="126"/>
      <c r="H206" s="204">
        <f>(IF(AND($E206&lt;&gt;"",H$1&gt;=$E206),VLOOKUP(H$1-$E206+1,Tablas!$A$70:$P$83,2+H$5,FALSE),0)-IF(AND($F206&lt;&gt;"",H$1&gt;$F206),VLOOKUP(H$1-$F206,Tablas!$A$70:$P$83,2+H$5,FALSE),0))*IF($G206="x",2,1)</f>
        <v>0</v>
      </c>
      <c r="I206" s="204">
        <f>(IF(AND($E206&lt;&gt;"",I$1&gt;=$E206),VLOOKUP(I$1-$E206+1,Tablas!$A$70:$P$83,2+I$5,FALSE),0)-IF(AND($F206&lt;&gt;"",I$1&gt;$F206),VLOOKUP(I$1-$F206,Tablas!$A$70:$P$83,2+I$5,FALSE),0))*IF($G206="x",2,1)</f>
        <v>0</v>
      </c>
      <c r="J206" s="204">
        <f>(IF(AND($E206&lt;&gt;"",J$1&gt;=$E206),VLOOKUP(J$1-$E206+1,Tablas!$A$70:$P$83,2+J$5,FALSE),0)-IF(AND($F206&lt;&gt;"",J$1&gt;$F206),VLOOKUP(J$1-$F206,Tablas!$A$70:$P$83,2+J$5,FALSE),0))*IF($G206="x",2,1)</f>
        <v>0</v>
      </c>
      <c r="K206" s="204">
        <f>(IF(AND($E206&lt;&gt;"",K$1&gt;=$E206),VLOOKUP(K$1-$E206+1,Tablas!$A$70:$P$83,2+K$5,FALSE),0)-IF(AND($F206&lt;&gt;"",K$1&gt;$F206),VLOOKUP(K$1-$F206,Tablas!$A$70:$P$83,2+K$5,FALSE),0))*IF($G206="x",2,1)</f>
        <v>0</v>
      </c>
      <c r="L206" s="204">
        <f>(IF(AND($E206&lt;&gt;"",L$1&gt;=$E206),VLOOKUP(L$1-$E206+1,Tablas!$A$70:$P$83,2+L$5,FALSE),0)-IF(AND($F206&lt;&gt;"",L$1&gt;$F206),VLOOKUP(L$1-$F206,Tablas!$A$70:$P$83,2+L$5,FALSE),0))*IF($G206="x",2,1)</f>
        <v>0</v>
      </c>
      <c r="M206" s="204">
        <f>(IF(AND($E206&lt;&gt;"",M$1&gt;=$E206),VLOOKUP(M$1-$E206+1,Tablas!$A$70:$P$83,2+M$5,FALSE),0)-IF(AND($F206&lt;&gt;"",M$1&gt;$F206),VLOOKUP(M$1-$F206,Tablas!$A$70:$P$83,2+M$5,FALSE),0))*IF($G206="x",2,1)</f>
        <v>0</v>
      </c>
      <c r="N206" s="204">
        <f>(IF(AND($E206&lt;&gt;"",N$1&gt;=$E206),VLOOKUP(N$1-$E206+1,Tablas!$A$70:$P$83,2+N$5,FALSE),0)-IF(AND($F206&lt;&gt;"",N$1&gt;$F206),VLOOKUP(N$1-$F206,Tablas!$A$70:$P$83,2+N$5,FALSE),0))*IF($G206="x",2,1)</f>
        <v>0</v>
      </c>
      <c r="O206" s="204">
        <f>(IF(AND($E206&lt;&gt;"",O$1&gt;=$E206),VLOOKUP(O$1-$E206+1,Tablas!$A$70:$P$83,2+O$5,FALSE),0)-IF(AND($F206&lt;&gt;"",O$1&gt;$F206),VLOOKUP(O$1-$F206,Tablas!$A$70:$P$83,2+O$5,FALSE),0))*IF($G206="x",2,1)</f>
        <v>0</v>
      </c>
      <c r="P206" s="204">
        <f>(IF(AND($E206&lt;&gt;"",P$1&gt;=$E206),VLOOKUP(P$1-$E206+1,Tablas!$A$70:$P$83,2+P$5,FALSE),0)-IF(AND($F206&lt;&gt;"",P$1&gt;$F206),VLOOKUP(P$1-$F206,Tablas!$A$70:$P$83,2+P$5,FALSE),0))*IF($G206="x",2,1)</f>
        <v>0</v>
      </c>
      <c r="Q206" s="204">
        <f>(IF(AND($E206&lt;&gt;"",Q$1&gt;=$E206),VLOOKUP(Q$1-$E206+1,Tablas!$A$70:$P$83,2+Q$5,FALSE),0)-IF(AND($F206&lt;&gt;"",Q$1&gt;$F206),VLOOKUP(Q$1-$F206,Tablas!$A$70:$P$83,2+Q$5,FALSE),0))*IF($G206="x",2,1)</f>
        <v>0</v>
      </c>
      <c r="R206" s="204">
        <f>(IF(AND($E206&lt;&gt;"",R$1&gt;=$E206),VLOOKUP(R$1-$E206+1,Tablas!$A$70:$P$83,2+R$5,FALSE),0)-IF(AND($F206&lt;&gt;"",R$1&gt;$F206),VLOOKUP(R$1-$F206,Tablas!$A$70:$P$83,2+R$5,FALSE),0))*IF($G206="x",2,1)</f>
        <v>0</v>
      </c>
      <c r="S206" s="204">
        <f>(IF(AND($E206&lt;&gt;"",S$1&gt;=$E206),VLOOKUP(S$1-$E206+1,Tablas!$A$70:$P$83,2+S$5,FALSE),0)-IF(AND($F206&lt;&gt;"",S$1&gt;$F206),VLOOKUP(S$1-$F206,Tablas!$A$70:$P$83,2+S$5,FALSE),0))*IF($G206="x",2,1)</f>
        <v>0</v>
      </c>
      <c r="T206" s="204">
        <f>(IF(AND($E206&lt;&gt;"",T$1&gt;=$E206),VLOOKUP(T$1-$E206+1,Tablas!$A$70:$P$83,2+T$5,FALSE),0)-IF(AND($F206&lt;&gt;"",T$1&gt;$F206),VLOOKUP(T$1-$F206,Tablas!$A$70:$P$83,2+T$5,FALSE),0))*IF($G206="x",2,1)</f>
        <v>0</v>
      </c>
      <c r="U206" s="204">
        <f>(IF(AND($E206&lt;&gt;"",U$1&gt;=$E206),VLOOKUP(U$1-$E206+1,Tablas!$A$70:$P$83,2+U$5,FALSE),0)-IF(AND($F206&lt;&gt;"",U$1&gt;$F206),VLOOKUP(U$1-$F206,Tablas!$A$70:$P$83,2+U$5,FALSE),0))*IF($G206="x",2,1)</f>
        <v>0</v>
      </c>
      <c r="V206" s="204">
        <f>(IF(AND($E206&lt;&gt;"",V$1&gt;=$E206),VLOOKUP(V$1-$E206+1,Tablas!$A$70:$P$83,2+V$5,FALSE),0)-IF(AND($F206&lt;&gt;"",V$1&gt;$F206),VLOOKUP(V$1-$F206,Tablas!$A$70:$P$83,2+V$5,FALSE),0))*IF($G206="x",2,1)</f>
        <v>0</v>
      </c>
      <c r="W206" s="112">
        <v>10</v>
      </c>
      <c r="X206" s="204"/>
      <c r="Y206" s="22"/>
      <c r="Z206" s="22"/>
      <c r="AA206" s="22"/>
      <c r="AB206" s="22"/>
      <c r="AC206" s="22"/>
      <c r="AD206" s="22"/>
      <c r="AE206" s="22"/>
      <c r="AF206" s="22"/>
      <c r="AG206" s="22"/>
    </row>
    <row r="207" spans="1:33" x14ac:dyDescent="0.2">
      <c r="A207" s="170" t="s">
        <v>104</v>
      </c>
      <c r="B207" s="171" t="s">
        <v>69</v>
      </c>
      <c r="C207" s="293" t="s">
        <v>244</v>
      </c>
      <c r="D207" s="172"/>
      <c r="E207" s="125"/>
      <c r="F207" s="177"/>
      <c r="G207" s="126"/>
      <c r="H207" s="204">
        <f>(IF(AND($E207&lt;&gt;"",H$1&gt;=$E207),VLOOKUP(H$1-$E207+1,Tablas!$A$70:$P$83,2+H$5,FALSE),0)-IF(AND($F207&lt;&gt;"",H$1&gt;$F207),VLOOKUP(H$1-$F207,Tablas!$A$70:$P$83,2+H$5,FALSE),0))*IF($G207="x",2,1)</f>
        <v>0</v>
      </c>
      <c r="I207" s="204">
        <f>(IF(AND($E207&lt;&gt;"",I$1&gt;=$E207),VLOOKUP(I$1-$E207+1,Tablas!$A$70:$P$83,2+I$5,FALSE),0)-IF(AND($F207&lt;&gt;"",I$1&gt;$F207),VLOOKUP(I$1-$F207,Tablas!$A$70:$P$83,2+I$5,FALSE),0))*IF($G207="x",2,1)</f>
        <v>0</v>
      </c>
      <c r="J207" s="204">
        <f>(IF(AND($E207&lt;&gt;"",J$1&gt;=$E207),VLOOKUP(J$1-$E207+1,Tablas!$A$70:$P$83,2+J$5,FALSE),0)-IF(AND($F207&lt;&gt;"",J$1&gt;$F207),VLOOKUP(J$1-$F207,Tablas!$A$70:$P$83,2+J$5,FALSE),0))*IF($G207="x",2,1)</f>
        <v>0</v>
      </c>
      <c r="K207" s="204">
        <f>(IF(AND($E207&lt;&gt;"",K$1&gt;=$E207),VLOOKUP(K$1-$E207+1,Tablas!$A$70:$P$83,2+K$5,FALSE),0)-IF(AND($F207&lt;&gt;"",K$1&gt;$F207),VLOOKUP(K$1-$F207,Tablas!$A$70:$P$83,2+K$5,FALSE),0))*IF($G207="x",2,1)</f>
        <v>0</v>
      </c>
      <c r="L207" s="204">
        <f>(IF(AND($E207&lt;&gt;"",L$1&gt;=$E207),VLOOKUP(L$1-$E207+1,Tablas!$A$70:$P$83,2+L$5,FALSE),0)-IF(AND($F207&lt;&gt;"",L$1&gt;$F207),VLOOKUP(L$1-$F207,Tablas!$A$70:$P$83,2+L$5,FALSE),0))*IF($G207="x",2,1)</f>
        <v>0</v>
      </c>
      <c r="M207" s="204">
        <f>(IF(AND($E207&lt;&gt;"",M$1&gt;=$E207),VLOOKUP(M$1-$E207+1,Tablas!$A$70:$P$83,2+M$5,FALSE),0)-IF(AND($F207&lt;&gt;"",M$1&gt;$F207),VLOOKUP(M$1-$F207,Tablas!$A$70:$P$83,2+M$5,FALSE),0))*IF($G207="x",2,1)</f>
        <v>0</v>
      </c>
      <c r="N207" s="204">
        <f>(IF(AND($E207&lt;&gt;"",N$1&gt;=$E207),VLOOKUP(N$1-$E207+1,Tablas!$A$70:$P$83,2+N$5,FALSE),0)-IF(AND($F207&lt;&gt;"",N$1&gt;$F207),VLOOKUP(N$1-$F207,Tablas!$A$70:$P$83,2+N$5,FALSE),0))*IF($G207="x",2,1)</f>
        <v>0</v>
      </c>
      <c r="O207" s="204">
        <f>(IF(AND($E207&lt;&gt;"",O$1&gt;=$E207),VLOOKUP(O$1-$E207+1,Tablas!$A$70:$P$83,2+O$5,FALSE),0)-IF(AND($F207&lt;&gt;"",O$1&gt;$F207),VLOOKUP(O$1-$F207,Tablas!$A$70:$P$83,2+O$5,FALSE),0))*IF($G207="x",2,1)</f>
        <v>0</v>
      </c>
      <c r="P207" s="204">
        <f>(IF(AND($E207&lt;&gt;"",P$1&gt;=$E207),VLOOKUP(P$1-$E207+1,Tablas!$A$70:$P$83,2+P$5,FALSE),0)-IF(AND($F207&lt;&gt;"",P$1&gt;$F207),VLOOKUP(P$1-$F207,Tablas!$A$70:$P$83,2+P$5,FALSE),0))*IF($G207="x",2,1)</f>
        <v>0</v>
      </c>
      <c r="Q207" s="204">
        <f>(IF(AND($E207&lt;&gt;"",Q$1&gt;=$E207),VLOOKUP(Q$1-$E207+1,Tablas!$A$70:$P$83,2+Q$5,FALSE),0)-IF(AND($F207&lt;&gt;"",Q$1&gt;$F207),VLOOKUP(Q$1-$F207,Tablas!$A$70:$P$83,2+Q$5,FALSE),0))*IF($G207="x",2,1)</f>
        <v>0</v>
      </c>
      <c r="R207" s="204">
        <f>(IF(AND($E207&lt;&gt;"",R$1&gt;=$E207),VLOOKUP(R$1-$E207+1,Tablas!$A$70:$P$83,2+R$5,FALSE),0)-IF(AND($F207&lt;&gt;"",R$1&gt;$F207),VLOOKUP(R$1-$F207,Tablas!$A$70:$P$83,2+R$5,FALSE),0))*IF($G207="x",2,1)</f>
        <v>0</v>
      </c>
      <c r="S207" s="204">
        <f>(IF(AND($E207&lt;&gt;"",S$1&gt;=$E207),VLOOKUP(S$1-$E207+1,Tablas!$A$70:$P$83,2+S$5,FALSE),0)-IF(AND($F207&lt;&gt;"",S$1&gt;$F207),VLOOKUP(S$1-$F207,Tablas!$A$70:$P$83,2+S$5,FALSE),0))*IF($G207="x",2,1)</f>
        <v>0</v>
      </c>
      <c r="T207" s="204">
        <f>(IF(AND($E207&lt;&gt;"",T$1&gt;=$E207),VLOOKUP(T$1-$E207+1,Tablas!$A$70:$P$83,2+T$5,FALSE),0)-IF(AND($F207&lt;&gt;"",T$1&gt;$F207),VLOOKUP(T$1-$F207,Tablas!$A$70:$P$83,2+T$5,FALSE),0))*IF($G207="x",2,1)</f>
        <v>0</v>
      </c>
      <c r="U207" s="204">
        <f>(IF(AND($E207&lt;&gt;"",U$1&gt;=$E207),VLOOKUP(U$1-$E207+1,Tablas!$A$70:$P$83,2+U$5,FALSE),0)-IF(AND($F207&lt;&gt;"",U$1&gt;$F207),VLOOKUP(U$1-$F207,Tablas!$A$70:$P$83,2+U$5,FALSE),0))*IF($G207="x",2,1)</f>
        <v>0</v>
      </c>
      <c r="V207" s="204">
        <f>(IF(AND($E207&lt;&gt;"",V$1&gt;=$E207),VLOOKUP(V$1-$E207+1,Tablas!$A$70:$P$83,2+V$5,FALSE),0)-IF(AND($F207&lt;&gt;"",V$1&gt;$F207),VLOOKUP(V$1-$F207,Tablas!$A$70:$P$83,2+V$5,FALSE),0))*IF($G207="x",2,1)</f>
        <v>0</v>
      </c>
      <c r="W207" s="112">
        <v>11</v>
      </c>
      <c r="X207" s="204"/>
      <c r="Y207" s="22"/>
      <c r="Z207" s="22"/>
      <c r="AA207" s="22"/>
      <c r="AB207" s="22"/>
      <c r="AC207" s="22"/>
      <c r="AD207" s="22"/>
      <c r="AE207" s="22"/>
      <c r="AF207" s="22"/>
      <c r="AG207" s="22"/>
    </row>
    <row r="208" spans="1:33" ht="13.5" thickBot="1" x14ac:dyDescent="0.25">
      <c r="A208" s="170" t="s">
        <v>104</v>
      </c>
      <c r="B208" s="171" t="s">
        <v>70</v>
      </c>
      <c r="C208" s="293" t="s">
        <v>244</v>
      </c>
      <c r="D208" s="172"/>
      <c r="E208" s="127"/>
      <c r="F208" s="178"/>
      <c r="G208" s="128"/>
      <c r="H208" s="204">
        <f>(IF(AND($E208&lt;&gt;"",H$1&gt;=$E208),VLOOKUP(H$1-$E208+1,Tablas!$A$70:$P$83,2+H$5,FALSE),0)-IF(AND($F208&lt;&gt;"",H$1&gt;$F208),VLOOKUP(H$1-$F208,Tablas!$A$70:$P$83,2+H$5,FALSE),0))*IF($G208="x",2,1)</f>
        <v>0</v>
      </c>
      <c r="I208" s="204">
        <f>(IF(AND($E208&lt;&gt;"",I$1&gt;=$E208),VLOOKUP(I$1-$E208+1,Tablas!$A$70:$P$83,2+I$5,FALSE),0)-IF(AND($F208&lt;&gt;"",I$1&gt;$F208),VLOOKUP(I$1-$F208,Tablas!$A$70:$P$83,2+I$5,FALSE),0))*IF($G208="x",2,1)</f>
        <v>0</v>
      </c>
      <c r="J208" s="204">
        <f>(IF(AND($E208&lt;&gt;"",J$1&gt;=$E208),VLOOKUP(J$1-$E208+1,Tablas!$A$70:$P$83,2+J$5,FALSE),0)-IF(AND($F208&lt;&gt;"",J$1&gt;$F208),VLOOKUP(J$1-$F208,Tablas!$A$70:$P$83,2+J$5,FALSE),0))*IF($G208="x",2,1)</f>
        <v>0</v>
      </c>
      <c r="K208" s="204">
        <f>(IF(AND($E208&lt;&gt;"",K$1&gt;=$E208),VLOOKUP(K$1-$E208+1,Tablas!$A$70:$P$83,2+K$5,FALSE),0)-IF(AND($F208&lt;&gt;"",K$1&gt;$F208),VLOOKUP(K$1-$F208,Tablas!$A$70:$P$83,2+K$5,FALSE),0))*IF($G208="x",2,1)</f>
        <v>0</v>
      </c>
      <c r="L208" s="204">
        <f>(IF(AND($E208&lt;&gt;"",L$1&gt;=$E208),VLOOKUP(L$1-$E208+1,Tablas!$A$70:$P$83,2+L$5,FALSE),0)-IF(AND($F208&lt;&gt;"",L$1&gt;$F208),VLOOKUP(L$1-$F208,Tablas!$A$70:$P$83,2+L$5,FALSE),0))*IF($G208="x",2,1)</f>
        <v>0</v>
      </c>
      <c r="M208" s="204">
        <f>(IF(AND($E208&lt;&gt;"",M$1&gt;=$E208),VLOOKUP(M$1-$E208+1,Tablas!$A$70:$P$83,2+M$5,FALSE),0)-IF(AND($F208&lt;&gt;"",M$1&gt;$F208),VLOOKUP(M$1-$F208,Tablas!$A$70:$P$83,2+M$5,FALSE),0))*IF($G208="x",2,1)</f>
        <v>0</v>
      </c>
      <c r="N208" s="204">
        <f>(IF(AND($E208&lt;&gt;"",N$1&gt;=$E208),VLOOKUP(N$1-$E208+1,Tablas!$A$70:$P$83,2+N$5,FALSE),0)-IF(AND($F208&lt;&gt;"",N$1&gt;$F208),VLOOKUP(N$1-$F208,Tablas!$A$70:$P$83,2+N$5,FALSE),0))*IF($G208="x",2,1)</f>
        <v>0</v>
      </c>
      <c r="O208" s="204">
        <f>(IF(AND($E208&lt;&gt;"",O$1&gt;=$E208),VLOOKUP(O$1-$E208+1,Tablas!$A$70:$P$83,2+O$5,FALSE),0)-IF(AND($F208&lt;&gt;"",O$1&gt;$F208),VLOOKUP(O$1-$F208,Tablas!$A$70:$P$83,2+O$5,FALSE),0))*IF($G208="x",2,1)</f>
        <v>0</v>
      </c>
      <c r="P208" s="204">
        <f>(IF(AND($E208&lt;&gt;"",P$1&gt;=$E208),VLOOKUP(P$1-$E208+1,Tablas!$A$70:$P$83,2+P$5,FALSE),0)-IF(AND($F208&lt;&gt;"",P$1&gt;$F208),VLOOKUP(P$1-$F208,Tablas!$A$70:$P$83,2+P$5,FALSE),0))*IF($G208="x",2,1)</f>
        <v>0</v>
      </c>
      <c r="Q208" s="204">
        <f>(IF(AND($E208&lt;&gt;"",Q$1&gt;=$E208),VLOOKUP(Q$1-$E208+1,Tablas!$A$70:$P$83,2+Q$5,FALSE),0)-IF(AND($F208&lt;&gt;"",Q$1&gt;$F208),VLOOKUP(Q$1-$F208,Tablas!$A$70:$P$83,2+Q$5,FALSE),0))*IF($G208="x",2,1)</f>
        <v>0</v>
      </c>
      <c r="R208" s="204">
        <f>(IF(AND($E208&lt;&gt;"",R$1&gt;=$E208),VLOOKUP(R$1-$E208+1,Tablas!$A$70:$P$83,2+R$5,FALSE),0)-IF(AND($F208&lt;&gt;"",R$1&gt;$F208),VLOOKUP(R$1-$F208,Tablas!$A$70:$P$83,2+R$5,FALSE),0))*IF($G208="x",2,1)</f>
        <v>0</v>
      </c>
      <c r="S208" s="204">
        <f>(IF(AND($E208&lt;&gt;"",S$1&gt;=$E208),VLOOKUP(S$1-$E208+1,Tablas!$A$70:$P$83,2+S$5,FALSE),0)-IF(AND($F208&lt;&gt;"",S$1&gt;$F208),VLOOKUP(S$1-$F208,Tablas!$A$70:$P$83,2+S$5,FALSE),0))*IF($G208="x",2,1)</f>
        <v>0</v>
      </c>
      <c r="T208" s="204">
        <f>(IF(AND($E208&lt;&gt;"",T$1&gt;=$E208),VLOOKUP(T$1-$E208+1,Tablas!$A$70:$P$83,2+T$5,FALSE),0)-IF(AND($F208&lt;&gt;"",T$1&gt;$F208),VLOOKUP(T$1-$F208,Tablas!$A$70:$P$83,2+T$5,FALSE),0))*IF($G208="x",2,1)</f>
        <v>0</v>
      </c>
      <c r="U208" s="204">
        <f>(IF(AND($E208&lt;&gt;"",U$1&gt;=$E208),VLOOKUP(U$1-$E208+1,Tablas!$A$70:$P$83,2+U$5,FALSE),0)-IF(AND($F208&lt;&gt;"",U$1&gt;$F208),VLOOKUP(U$1-$F208,Tablas!$A$70:$P$83,2+U$5,FALSE),0))*IF($G208="x",2,1)</f>
        <v>0</v>
      </c>
      <c r="V208" s="204">
        <f>(IF(AND($E208&lt;&gt;"",V$1&gt;=$E208),VLOOKUP(V$1-$E208+1,Tablas!$A$70:$P$83,2+V$5,FALSE),0)-IF(AND($F208&lt;&gt;"",V$1&gt;$F208),VLOOKUP(V$1-$F208,Tablas!$A$70:$P$83,2+V$5,FALSE),0))*IF($G208="x",2,1)</f>
        <v>0</v>
      </c>
      <c r="W208" s="112">
        <v>12</v>
      </c>
      <c r="X208" s="204"/>
      <c r="Y208" s="22"/>
      <c r="Z208" s="22"/>
      <c r="AA208" s="22"/>
      <c r="AB208" s="22"/>
      <c r="AC208" s="22"/>
      <c r="AD208" s="22"/>
      <c r="AE208" s="22"/>
      <c r="AF208" s="22"/>
      <c r="AG208" s="22"/>
    </row>
    <row r="209" spans="1:33" x14ac:dyDescent="0.2">
      <c r="A209" s="29"/>
      <c r="B209" s="22"/>
      <c r="C209" s="22"/>
      <c r="D209" s="22"/>
      <c r="E209" s="272"/>
      <c r="F209" s="272"/>
      <c r="G209" s="272"/>
      <c r="H209" s="112"/>
      <c r="I209" s="112"/>
      <c r="J209" s="112"/>
      <c r="K209" s="112"/>
      <c r="L209" s="112"/>
      <c r="M209" s="112"/>
      <c r="N209" s="112"/>
      <c r="O209" s="112"/>
      <c r="P209" s="112"/>
      <c r="Q209" s="112"/>
      <c r="R209" s="112"/>
      <c r="S209" s="112"/>
      <c r="T209" s="112"/>
      <c r="U209" s="112"/>
      <c r="V209" s="112"/>
      <c r="W209" s="112"/>
      <c r="X209" s="22"/>
      <c r="Y209" s="22"/>
      <c r="Z209" s="22"/>
      <c r="AA209" s="22"/>
      <c r="AB209" s="22"/>
      <c r="AC209" s="22"/>
      <c r="AD209" s="22"/>
      <c r="AE209" s="22"/>
      <c r="AF209" s="22"/>
      <c r="AG209" s="22"/>
    </row>
    <row r="210" spans="1:33" x14ac:dyDescent="0.2">
      <c r="A210" s="22"/>
      <c r="B210" s="22"/>
      <c r="C210" s="248" t="s">
        <v>364</v>
      </c>
      <c r="D210" s="247">
        <v>0</v>
      </c>
      <c r="E210" s="22"/>
      <c r="F210" s="22"/>
      <c r="G210" s="22"/>
      <c r="H210" s="112"/>
      <c r="I210" s="112"/>
      <c r="J210" s="112"/>
      <c r="K210" s="112"/>
      <c r="L210" s="112"/>
      <c r="M210" s="112"/>
      <c r="N210" s="112"/>
      <c r="O210" s="112"/>
      <c r="P210" s="112"/>
      <c r="Q210" s="112"/>
      <c r="R210" s="112"/>
      <c r="S210" s="112"/>
      <c r="T210" s="112"/>
      <c r="U210" s="112"/>
      <c r="V210" s="112"/>
      <c r="W210" s="112"/>
      <c r="X210" s="22"/>
      <c r="Y210" s="22"/>
      <c r="Z210" s="22"/>
      <c r="AA210" s="22"/>
      <c r="AB210" s="22"/>
      <c r="AC210" s="22"/>
      <c r="AD210" s="22"/>
      <c r="AE210" s="22"/>
      <c r="AF210" s="22"/>
      <c r="AG210" s="22"/>
    </row>
    <row r="211" spans="1:33" x14ac:dyDescent="0.2">
      <c r="A211" s="22"/>
      <c r="B211" s="245"/>
      <c r="C211" s="249" t="s">
        <v>365</v>
      </c>
      <c r="D211" s="247">
        <v>0.5</v>
      </c>
      <c r="E211" s="22"/>
      <c r="F211" s="22"/>
      <c r="G211" s="22"/>
      <c r="H211" s="23"/>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row>
    <row r="212" spans="1:33" x14ac:dyDescent="0.2">
      <c r="A212" s="22"/>
      <c r="B212" s="245"/>
      <c r="C212" s="250" t="s">
        <v>366</v>
      </c>
      <c r="D212" s="247">
        <v>1</v>
      </c>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row>
    <row r="213" spans="1:33" x14ac:dyDescent="0.2">
      <c r="A213" s="22"/>
      <c r="B213" s="23"/>
      <c r="C213" s="23"/>
      <c r="D213" s="22"/>
      <c r="E213" s="22"/>
      <c r="F213" s="22"/>
      <c r="G213" s="22"/>
      <c r="H213" s="246"/>
      <c r="I213" s="246"/>
      <c r="J213" s="246"/>
      <c r="K213" s="246"/>
      <c r="L213" s="246"/>
      <c r="M213" s="246"/>
      <c r="N213" s="246"/>
      <c r="O213" s="246"/>
      <c r="P213" s="246"/>
      <c r="Q213" s="246"/>
      <c r="R213" s="246"/>
      <c r="S213" s="246"/>
      <c r="T213" s="246"/>
      <c r="U213" s="246"/>
      <c r="V213" s="22"/>
      <c r="W213" s="22"/>
      <c r="X213" s="22"/>
      <c r="Y213" s="22"/>
      <c r="Z213" s="22"/>
      <c r="AA213" s="22"/>
      <c r="AB213" s="22"/>
      <c r="AC213" s="22"/>
      <c r="AD213" s="22"/>
      <c r="AE213" s="22"/>
      <c r="AF213" s="22"/>
      <c r="AG213" s="22"/>
    </row>
    <row r="214" spans="1:33" x14ac:dyDescent="0.2">
      <c r="A214" s="22"/>
      <c r="B214" s="22"/>
      <c r="C214" s="22"/>
      <c r="D214" s="22"/>
      <c r="E214" s="22"/>
      <c r="F214" s="22"/>
      <c r="G214" s="22"/>
      <c r="H214" s="246"/>
      <c r="I214" s="246"/>
      <c r="J214" s="246"/>
      <c r="K214" s="246"/>
      <c r="L214" s="246"/>
      <c r="M214" s="246"/>
      <c r="N214" s="246"/>
      <c r="O214" s="246"/>
      <c r="P214" s="246"/>
      <c r="Q214" s="246"/>
      <c r="R214" s="246"/>
      <c r="S214" s="246"/>
      <c r="T214" s="246"/>
      <c r="U214" s="246"/>
      <c r="V214" s="22"/>
      <c r="W214" s="22"/>
      <c r="X214" s="22"/>
      <c r="Y214" s="22"/>
      <c r="Z214" s="22"/>
      <c r="AA214" s="22"/>
      <c r="AB214" s="22"/>
      <c r="AC214" s="22"/>
      <c r="AD214" s="22"/>
      <c r="AE214" s="22"/>
      <c r="AF214" s="22"/>
      <c r="AG214" s="22"/>
    </row>
    <row r="215" spans="1:33" x14ac:dyDescent="0.2">
      <c r="A215" s="22"/>
      <c r="B215" s="22"/>
      <c r="C215" s="22"/>
      <c r="D215" s="22"/>
      <c r="E215" s="22"/>
      <c r="F215" s="22"/>
      <c r="G215" s="22"/>
      <c r="H215" s="246"/>
      <c r="I215" s="246"/>
      <c r="J215" s="246"/>
      <c r="K215" s="246"/>
      <c r="L215" s="246"/>
      <c r="M215" s="246"/>
      <c r="N215" s="246"/>
      <c r="O215" s="246"/>
      <c r="P215" s="246"/>
      <c r="Q215" s="246"/>
      <c r="R215" s="246"/>
      <c r="S215" s="246"/>
      <c r="T215" s="246"/>
      <c r="U215" s="246"/>
      <c r="V215" s="22"/>
      <c r="W215" s="22"/>
      <c r="X215" s="22"/>
      <c r="Y215" s="22"/>
      <c r="Z215" s="22"/>
      <c r="AA215" s="22"/>
      <c r="AB215" s="22"/>
      <c r="AC215" s="22"/>
      <c r="AD215" s="22"/>
      <c r="AE215" s="22"/>
      <c r="AF215" s="22"/>
      <c r="AG215" s="22"/>
    </row>
    <row r="216" spans="1:33" x14ac:dyDescent="0.2">
      <c r="A216" s="22"/>
      <c r="B216" s="22"/>
      <c r="C216" s="22"/>
      <c r="D216" s="22"/>
      <c r="E216" s="22"/>
      <c r="F216" s="22"/>
      <c r="G216" s="22"/>
      <c r="H216" s="246"/>
      <c r="I216" s="246"/>
      <c r="J216" s="246"/>
      <c r="K216" s="246"/>
      <c r="L216" s="246"/>
      <c r="M216" s="246"/>
      <c r="N216" s="246"/>
      <c r="O216" s="246"/>
      <c r="P216" s="246"/>
      <c r="Q216" s="246"/>
      <c r="R216" s="246"/>
      <c r="S216" s="246"/>
      <c r="T216" s="246"/>
      <c r="U216" s="246"/>
      <c r="V216" s="22"/>
      <c r="W216" s="22"/>
      <c r="X216" s="22"/>
      <c r="Y216" s="22"/>
      <c r="Z216" s="22"/>
      <c r="AA216" s="22"/>
      <c r="AB216" s="22"/>
      <c r="AC216" s="22"/>
      <c r="AD216" s="22"/>
      <c r="AE216" s="22"/>
      <c r="AF216" s="22"/>
      <c r="AG216" s="22"/>
    </row>
    <row r="217" spans="1:33" x14ac:dyDescent="0.2">
      <c r="A217" s="22"/>
      <c r="B217" s="22"/>
      <c r="C217" s="22"/>
      <c r="D217" s="22"/>
      <c r="E217" s="22"/>
      <c r="F217" s="22"/>
      <c r="G217" s="22"/>
      <c r="H217" s="246"/>
      <c r="I217" s="246"/>
      <c r="J217" s="246"/>
      <c r="K217" s="246"/>
      <c r="L217" s="246"/>
      <c r="M217" s="246"/>
      <c r="N217" s="246"/>
      <c r="O217" s="246"/>
      <c r="P217" s="246"/>
      <c r="Q217" s="246"/>
      <c r="R217" s="246"/>
      <c r="S217" s="246"/>
      <c r="T217" s="246"/>
      <c r="U217" s="246"/>
      <c r="V217" s="22"/>
      <c r="W217" s="22"/>
      <c r="X217" s="22"/>
      <c r="Y217" s="22"/>
      <c r="Z217" s="22"/>
      <c r="AA217" s="22"/>
      <c r="AB217" s="22"/>
      <c r="AC217" s="22"/>
      <c r="AD217" s="22"/>
      <c r="AE217" s="22"/>
      <c r="AF217" s="22"/>
      <c r="AG217" s="22"/>
    </row>
    <row r="218" spans="1:33" x14ac:dyDescent="0.2">
      <c r="A218" s="22"/>
      <c r="B218" s="22"/>
      <c r="C218" s="22"/>
      <c r="D218" s="22"/>
      <c r="E218" s="22"/>
      <c r="F218" s="22"/>
      <c r="G218" s="22"/>
      <c r="H218" s="246"/>
      <c r="I218" s="246"/>
      <c r="J218" s="246"/>
      <c r="K218" s="246"/>
      <c r="L218" s="246"/>
      <c r="M218" s="246"/>
      <c r="N218" s="246"/>
      <c r="O218" s="246"/>
      <c r="P218" s="246"/>
      <c r="Q218" s="246"/>
      <c r="R218" s="246"/>
      <c r="S218" s="246"/>
      <c r="T218" s="246"/>
      <c r="U218" s="246"/>
      <c r="V218" s="22"/>
      <c r="W218" s="22"/>
      <c r="X218" s="22"/>
      <c r="Y218" s="22"/>
      <c r="Z218" s="22"/>
      <c r="AA218" s="22"/>
      <c r="AB218" s="22"/>
      <c r="AC218" s="22"/>
      <c r="AD218" s="22"/>
      <c r="AE218" s="22"/>
      <c r="AF218" s="22"/>
      <c r="AG218" s="22"/>
    </row>
    <row r="219" spans="1:33" x14ac:dyDescent="0.2">
      <c r="A219" s="22"/>
      <c r="B219" s="22"/>
      <c r="C219" s="22"/>
      <c r="D219" s="22"/>
      <c r="E219" s="22"/>
      <c r="F219" s="22"/>
      <c r="G219" s="22"/>
      <c r="H219" s="246"/>
      <c r="I219" s="246"/>
      <c r="J219" s="246"/>
      <c r="K219" s="246"/>
      <c r="L219" s="246"/>
      <c r="M219" s="246"/>
      <c r="N219" s="246"/>
      <c r="O219" s="246"/>
      <c r="P219" s="246"/>
      <c r="Q219" s="246"/>
      <c r="R219" s="246"/>
      <c r="S219" s="246"/>
      <c r="T219" s="246"/>
      <c r="U219" s="246"/>
      <c r="V219" s="22"/>
      <c r="W219" s="22"/>
      <c r="X219" s="22"/>
      <c r="Y219" s="22"/>
      <c r="Z219" s="22"/>
      <c r="AA219" s="22"/>
      <c r="AB219" s="22"/>
      <c r="AC219" s="22"/>
      <c r="AD219" s="22"/>
      <c r="AE219" s="22"/>
      <c r="AF219" s="22"/>
      <c r="AG219" s="22"/>
    </row>
    <row r="220" spans="1:33" x14ac:dyDescent="0.2">
      <c r="A220" s="22"/>
      <c r="B220" s="22"/>
      <c r="C220" s="22"/>
      <c r="D220" s="22"/>
      <c r="E220" s="22"/>
      <c r="F220" s="22"/>
      <c r="G220" s="22"/>
      <c r="H220" s="246"/>
      <c r="I220" s="246"/>
      <c r="J220" s="246"/>
      <c r="K220" s="246"/>
      <c r="L220" s="246"/>
      <c r="M220" s="246"/>
      <c r="N220" s="246"/>
      <c r="O220" s="246"/>
      <c r="P220" s="246"/>
      <c r="Q220" s="246"/>
      <c r="R220" s="246"/>
      <c r="S220" s="246"/>
      <c r="T220" s="246"/>
      <c r="U220" s="246"/>
      <c r="V220" s="22"/>
      <c r="W220" s="22"/>
      <c r="X220" s="22"/>
      <c r="Y220" s="22"/>
      <c r="Z220" s="22"/>
      <c r="AA220" s="22"/>
      <c r="AB220" s="22"/>
      <c r="AC220" s="22"/>
      <c r="AD220" s="22"/>
      <c r="AE220" s="22"/>
      <c r="AF220" s="22"/>
      <c r="AG220" s="22"/>
    </row>
    <row r="221" spans="1:33" x14ac:dyDescent="0.2">
      <c r="A221" s="22"/>
      <c r="B221" s="22"/>
      <c r="C221" s="22"/>
      <c r="D221" s="22"/>
      <c r="E221" s="22"/>
      <c r="F221" s="22"/>
      <c r="G221" s="22"/>
      <c r="H221" s="246"/>
      <c r="I221" s="246"/>
      <c r="J221" s="246"/>
      <c r="K221" s="246"/>
      <c r="L221" s="246"/>
      <c r="M221" s="246"/>
      <c r="N221" s="246"/>
      <c r="O221" s="246"/>
      <c r="P221" s="246"/>
      <c r="Q221" s="246"/>
      <c r="R221" s="246"/>
      <c r="S221" s="246"/>
      <c r="T221" s="246"/>
      <c r="U221" s="246"/>
      <c r="V221" s="22"/>
      <c r="W221" s="22"/>
      <c r="X221" s="22"/>
      <c r="Y221" s="22"/>
      <c r="Z221" s="22"/>
      <c r="AA221" s="22"/>
      <c r="AB221" s="22"/>
      <c r="AC221" s="22"/>
      <c r="AD221" s="22"/>
      <c r="AE221" s="22"/>
      <c r="AF221" s="22"/>
      <c r="AG221" s="22"/>
    </row>
    <row r="222" spans="1:33" x14ac:dyDescent="0.2">
      <c r="A222" s="22"/>
      <c r="B222" s="22"/>
      <c r="C222" s="22"/>
      <c r="D222" s="22"/>
      <c r="E222" s="22"/>
      <c r="F222" s="22"/>
      <c r="G222" s="22"/>
      <c r="H222" s="246"/>
      <c r="I222" s="246"/>
      <c r="J222" s="246"/>
      <c r="K222" s="246"/>
      <c r="L222" s="246"/>
      <c r="M222" s="246"/>
      <c r="N222" s="246"/>
      <c r="O222" s="246"/>
      <c r="P222" s="246"/>
      <c r="Q222" s="246"/>
      <c r="R222" s="246"/>
      <c r="S222" s="246"/>
      <c r="T222" s="246"/>
      <c r="U222" s="246"/>
      <c r="V222" s="22"/>
      <c r="W222" s="22"/>
      <c r="X222" s="22"/>
      <c r="Y222" s="22"/>
      <c r="Z222" s="22"/>
      <c r="AA222" s="22"/>
      <c r="AB222" s="22"/>
      <c r="AC222" s="22"/>
      <c r="AD222" s="22"/>
      <c r="AE222" s="22"/>
      <c r="AF222" s="22"/>
      <c r="AG222" s="22"/>
    </row>
    <row r="223" spans="1:33" x14ac:dyDescent="0.2">
      <c r="A223" s="22"/>
      <c r="B223" s="22"/>
      <c r="C223" s="22"/>
      <c r="D223" s="22"/>
      <c r="E223" s="22"/>
      <c r="F223" s="22"/>
      <c r="G223" s="22"/>
      <c r="H223" s="246"/>
      <c r="I223" s="246"/>
      <c r="J223" s="246"/>
      <c r="K223" s="246"/>
      <c r="L223" s="246"/>
      <c r="M223" s="246"/>
      <c r="N223" s="246"/>
      <c r="O223" s="246"/>
      <c r="P223" s="246"/>
      <c r="Q223" s="246"/>
      <c r="R223" s="246"/>
      <c r="S223" s="246"/>
      <c r="T223" s="246"/>
      <c r="U223" s="246"/>
      <c r="V223" s="22"/>
      <c r="W223" s="22"/>
      <c r="X223" s="22"/>
      <c r="Y223" s="22"/>
      <c r="Z223" s="22"/>
      <c r="AA223" s="22"/>
      <c r="AB223" s="22"/>
      <c r="AC223" s="22"/>
      <c r="AD223" s="22"/>
      <c r="AE223" s="22"/>
      <c r="AF223" s="22"/>
      <c r="AG223" s="22"/>
    </row>
    <row r="224" spans="1:33" x14ac:dyDescent="0.2">
      <c r="A224" s="22"/>
      <c r="B224" s="22"/>
      <c r="C224" s="22"/>
      <c r="D224" s="22"/>
      <c r="E224" s="22"/>
      <c r="F224" s="22"/>
      <c r="G224" s="22"/>
      <c r="H224" s="246"/>
      <c r="I224" s="246"/>
      <c r="J224" s="246"/>
      <c r="K224" s="246"/>
      <c r="L224" s="246"/>
      <c r="M224" s="246"/>
      <c r="N224" s="246"/>
      <c r="O224" s="246"/>
      <c r="P224" s="246"/>
      <c r="Q224" s="246"/>
      <c r="R224" s="246"/>
      <c r="S224" s="246"/>
      <c r="T224" s="246"/>
      <c r="U224" s="246"/>
      <c r="V224" s="22"/>
      <c r="W224" s="22"/>
      <c r="X224" s="22"/>
      <c r="Y224" s="22"/>
      <c r="Z224" s="22"/>
      <c r="AA224" s="22"/>
    </row>
    <row r="225" spans="1:27" x14ac:dyDescent="0.2">
      <c r="A225" s="22"/>
      <c r="B225" s="22"/>
      <c r="C225" s="22"/>
      <c r="D225" s="22"/>
      <c r="E225" s="22"/>
      <c r="F225" s="22"/>
      <c r="G225" s="22"/>
      <c r="H225" s="246"/>
      <c r="I225" s="246"/>
      <c r="J225" s="246"/>
      <c r="K225" s="246"/>
      <c r="L225" s="246"/>
      <c r="M225" s="246"/>
      <c r="N225" s="246"/>
      <c r="O225" s="246"/>
      <c r="P225" s="246"/>
      <c r="Q225" s="246"/>
      <c r="R225" s="246"/>
      <c r="S225" s="246"/>
      <c r="T225" s="246"/>
      <c r="U225" s="246"/>
      <c r="V225" s="22"/>
      <c r="W225" s="22"/>
      <c r="X225" s="22"/>
      <c r="Y225" s="22"/>
      <c r="Z225" s="22"/>
      <c r="AA225" s="22"/>
    </row>
    <row r="226" spans="1:27" x14ac:dyDescent="0.2">
      <c r="A226" s="22"/>
      <c r="B226" s="22"/>
      <c r="C226" s="22"/>
      <c r="D226" s="22"/>
      <c r="E226" s="22"/>
      <c r="F226" s="22"/>
      <c r="G226" s="22"/>
      <c r="H226" s="246"/>
      <c r="I226" s="246"/>
      <c r="J226" s="246"/>
      <c r="K226" s="246"/>
      <c r="L226" s="246"/>
      <c r="M226" s="246"/>
      <c r="N226" s="246"/>
      <c r="O226" s="246"/>
      <c r="P226" s="246"/>
      <c r="Q226" s="246"/>
      <c r="R226" s="246"/>
      <c r="S226" s="246"/>
      <c r="T226" s="246"/>
      <c r="U226" s="246"/>
      <c r="V226" s="22"/>
      <c r="W226" s="22"/>
      <c r="X226" s="22"/>
      <c r="Y226" s="22"/>
      <c r="Z226" s="22"/>
      <c r="AA226" s="22"/>
    </row>
    <row r="227" spans="1:27" x14ac:dyDescent="0.2">
      <c r="A227" s="22"/>
      <c r="B227" s="22"/>
      <c r="C227" s="22"/>
      <c r="D227" s="22"/>
      <c r="E227" s="22"/>
      <c r="F227" s="22"/>
      <c r="G227" s="22"/>
      <c r="H227" s="246"/>
      <c r="I227" s="246"/>
      <c r="J227" s="246"/>
      <c r="K227" s="246"/>
      <c r="L227" s="246"/>
      <c r="M227" s="246"/>
      <c r="N227" s="246"/>
      <c r="O227" s="246"/>
      <c r="P227" s="246"/>
      <c r="Q227" s="246"/>
      <c r="R227" s="246"/>
      <c r="S227" s="246"/>
      <c r="T227" s="246"/>
      <c r="U227" s="246"/>
      <c r="V227" s="22"/>
      <c r="W227" s="22"/>
      <c r="X227" s="22"/>
      <c r="Y227" s="22"/>
      <c r="Z227" s="22"/>
      <c r="AA227" s="22"/>
    </row>
    <row r="228" spans="1:27" x14ac:dyDescent="0.2">
      <c r="A228" s="22"/>
      <c r="B228" s="22"/>
      <c r="C228" s="22"/>
      <c r="D228" s="22"/>
      <c r="E228" s="22"/>
      <c r="F228" s="22"/>
      <c r="G228" s="22"/>
      <c r="H228" s="246"/>
      <c r="I228" s="246"/>
      <c r="J228" s="246"/>
      <c r="K228" s="246"/>
      <c r="L228" s="246"/>
      <c r="M228" s="246"/>
      <c r="N228" s="246"/>
      <c r="O228" s="246"/>
      <c r="P228" s="246"/>
      <c r="Q228" s="246"/>
      <c r="R228" s="246"/>
      <c r="S228" s="246"/>
      <c r="T228" s="246"/>
      <c r="U228" s="246"/>
      <c r="V228" s="22"/>
      <c r="W228" s="22"/>
      <c r="X228" s="22"/>
      <c r="Y228" s="22"/>
      <c r="Z228" s="22"/>
      <c r="AA228" s="22"/>
    </row>
    <row r="229" spans="1:27" x14ac:dyDescent="0.2">
      <c r="A229" s="22"/>
      <c r="B229" s="22"/>
      <c r="C229" s="22"/>
      <c r="D229" s="22"/>
      <c r="E229" s="22"/>
      <c r="F229" s="22"/>
      <c r="G229" s="22"/>
      <c r="H229" s="246"/>
      <c r="I229" s="246"/>
      <c r="J229" s="246"/>
      <c r="K229" s="246"/>
      <c r="L229" s="246"/>
      <c r="M229" s="246"/>
      <c r="N229" s="246"/>
      <c r="O229" s="246"/>
      <c r="P229" s="246"/>
      <c r="Q229" s="246"/>
      <c r="R229" s="246"/>
      <c r="S229" s="246"/>
      <c r="T229" s="246"/>
      <c r="U229" s="246"/>
      <c r="V229" s="22"/>
      <c r="W229" s="22"/>
      <c r="X229" s="22"/>
      <c r="Y229" s="22"/>
      <c r="Z229" s="22"/>
      <c r="AA229" s="22"/>
    </row>
    <row r="230" spans="1:27" x14ac:dyDescent="0.2">
      <c r="A230" s="22"/>
      <c r="B230" s="22"/>
      <c r="C230" s="22"/>
      <c r="D230" s="22"/>
      <c r="E230" s="22"/>
      <c r="F230" s="22"/>
      <c r="G230" s="22"/>
      <c r="H230" s="246"/>
      <c r="I230" s="246"/>
      <c r="J230" s="246"/>
      <c r="K230" s="246"/>
      <c r="L230" s="246"/>
      <c r="M230" s="246"/>
      <c r="N230" s="246"/>
      <c r="O230" s="246"/>
      <c r="P230" s="246"/>
      <c r="Q230" s="246"/>
      <c r="R230" s="246"/>
      <c r="S230" s="246"/>
      <c r="T230" s="246"/>
      <c r="U230" s="246"/>
      <c r="V230" s="22"/>
      <c r="W230" s="22"/>
      <c r="X230" s="22"/>
      <c r="Y230" s="22"/>
      <c r="Z230" s="22"/>
      <c r="AA230" s="22"/>
    </row>
    <row r="231" spans="1:27" x14ac:dyDescent="0.2">
      <c r="A231" s="22"/>
      <c r="B231" s="22"/>
      <c r="C231" s="22"/>
      <c r="D231" s="22"/>
      <c r="E231" s="22"/>
      <c r="F231" s="22"/>
      <c r="G231" s="22"/>
      <c r="H231" s="246"/>
      <c r="I231" s="246"/>
      <c r="J231" s="246"/>
      <c r="K231" s="246"/>
      <c r="L231" s="246"/>
      <c r="M231" s="246"/>
      <c r="N231" s="246"/>
      <c r="O231" s="246"/>
      <c r="P231" s="246"/>
      <c r="Q231" s="246"/>
      <c r="R231" s="246"/>
      <c r="S231" s="246"/>
      <c r="T231" s="246"/>
      <c r="U231" s="246"/>
      <c r="V231" s="22"/>
      <c r="W231" s="22"/>
      <c r="X231" s="22"/>
      <c r="Y231" s="22"/>
      <c r="Z231" s="22"/>
      <c r="AA231" s="22"/>
    </row>
    <row r="232" spans="1:27" x14ac:dyDescent="0.2">
      <c r="A232" s="22"/>
      <c r="B232" s="22"/>
      <c r="C232" s="22"/>
      <c r="D232" s="22"/>
      <c r="E232" s="22"/>
      <c r="F232" s="22"/>
      <c r="G232" s="22"/>
      <c r="H232" s="246"/>
      <c r="I232" s="246"/>
      <c r="J232" s="246"/>
      <c r="K232" s="246"/>
      <c r="L232" s="246"/>
      <c r="M232" s="246"/>
      <c r="N232" s="246"/>
      <c r="O232" s="246"/>
      <c r="P232" s="246"/>
      <c r="Q232" s="246"/>
      <c r="R232" s="246"/>
      <c r="S232" s="246"/>
      <c r="T232" s="246"/>
      <c r="U232" s="246"/>
      <c r="V232" s="22"/>
      <c r="W232" s="22"/>
      <c r="X232" s="22"/>
      <c r="Y232" s="22"/>
      <c r="Z232" s="22"/>
      <c r="AA232" s="22"/>
    </row>
    <row r="233" spans="1:27" x14ac:dyDescent="0.2">
      <c r="A233" s="22"/>
      <c r="B233" s="22"/>
      <c r="C233" s="22"/>
      <c r="D233" s="22"/>
      <c r="E233" s="22"/>
      <c r="F233" s="22"/>
      <c r="G233" s="22"/>
      <c r="H233" s="246"/>
      <c r="I233" s="246"/>
      <c r="J233" s="246"/>
      <c r="K233" s="246"/>
      <c r="L233" s="246"/>
      <c r="M233" s="246"/>
      <c r="N233" s="246"/>
      <c r="O233" s="246"/>
      <c r="P233" s="246"/>
      <c r="Q233" s="246"/>
      <c r="R233" s="246"/>
      <c r="S233" s="246"/>
      <c r="T233" s="246"/>
      <c r="U233" s="246"/>
      <c r="V233" s="22"/>
      <c r="W233" s="22"/>
      <c r="X233" s="22"/>
      <c r="Y233" s="22"/>
      <c r="Z233" s="22"/>
      <c r="AA233" s="22"/>
    </row>
    <row r="234" spans="1:27" x14ac:dyDescent="0.2">
      <c r="A234" s="22"/>
      <c r="B234" s="22"/>
      <c r="C234" s="22"/>
      <c r="D234" s="22"/>
      <c r="E234" s="22"/>
      <c r="F234" s="22"/>
      <c r="G234" s="22"/>
      <c r="H234" s="246"/>
      <c r="I234" s="246"/>
      <c r="J234" s="246"/>
      <c r="K234" s="246"/>
      <c r="L234" s="246"/>
      <c r="M234" s="246"/>
      <c r="N234" s="246"/>
      <c r="O234" s="246"/>
      <c r="P234" s="246"/>
      <c r="Q234" s="246"/>
      <c r="R234" s="246"/>
      <c r="S234" s="246"/>
      <c r="T234" s="246"/>
      <c r="U234" s="246"/>
      <c r="V234" s="22"/>
      <c r="W234" s="22"/>
      <c r="X234" s="22"/>
      <c r="Y234" s="22"/>
      <c r="Z234" s="22"/>
      <c r="AA234" s="22"/>
    </row>
    <row r="235" spans="1:27" x14ac:dyDescent="0.2">
      <c r="A235" s="22"/>
      <c r="B235" s="22"/>
      <c r="C235" s="22"/>
      <c r="D235" s="22"/>
      <c r="E235" s="22"/>
      <c r="F235" s="22"/>
      <c r="G235" s="22"/>
      <c r="H235" s="246"/>
      <c r="I235" s="246"/>
      <c r="J235" s="246"/>
      <c r="K235" s="246"/>
      <c r="L235" s="246"/>
      <c r="M235" s="246"/>
      <c r="N235" s="246"/>
      <c r="O235" s="246"/>
      <c r="P235" s="246"/>
      <c r="Q235" s="246"/>
      <c r="R235" s="246"/>
      <c r="S235" s="246"/>
      <c r="T235" s="246"/>
      <c r="U235" s="246"/>
      <c r="V235" s="22"/>
      <c r="W235" s="22"/>
      <c r="X235" s="22"/>
      <c r="Y235" s="22"/>
      <c r="Z235" s="22"/>
      <c r="AA235" s="22"/>
    </row>
    <row r="236" spans="1:27" x14ac:dyDescent="0.2">
      <c r="A236" s="22"/>
      <c r="B236" s="22"/>
      <c r="C236" s="22"/>
      <c r="D236" s="22"/>
      <c r="E236" s="22"/>
      <c r="F236" s="22"/>
      <c r="G236" s="22"/>
      <c r="H236" s="246"/>
      <c r="I236" s="246"/>
      <c r="J236" s="246"/>
      <c r="K236" s="246"/>
      <c r="L236" s="246"/>
      <c r="M236" s="246"/>
      <c r="N236" s="246"/>
      <c r="O236" s="246"/>
      <c r="P236" s="246"/>
      <c r="Q236" s="246"/>
      <c r="R236" s="246"/>
      <c r="S236" s="246"/>
      <c r="T236" s="246"/>
      <c r="U236" s="246"/>
      <c r="V236" s="22"/>
      <c r="W236" s="22"/>
      <c r="X236" s="22"/>
      <c r="Y236" s="22"/>
      <c r="Z236" s="22"/>
      <c r="AA236" s="22"/>
    </row>
    <row r="237" spans="1:27" x14ac:dyDescent="0.2">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row>
    <row r="238" spans="1:27" x14ac:dyDescent="0.2">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row>
    <row r="239" spans="1:27" x14ac:dyDescent="0.2">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row>
    <row r="240" spans="1:27" x14ac:dyDescent="0.2">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row>
    <row r="241" spans="1:27" x14ac:dyDescent="0.2">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row>
    <row r="242" spans="1:27" x14ac:dyDescent="0.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row>
    <row r="243" spans="1:27" x14ac:dyDescent="0.2">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row>
    <row r="244" spans="1:27" x14ac:dyDescent="0.2">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row>
    <row r="245" spans="1:27" x14ac:dyDescent="0.2">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row>
    <row r="246" spans="1:27" x14ac:dyDescent="0.2">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row>
    <row r="247" spans="1:27" x14ac:dyDescent="0.2">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row>
    <row r="248" spans="1:27" x14ac:dyDescent="0.2">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row>
    <row r="249" spans="1:27" x14ac:dyDescent="0.2">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row>
    <row r="250" spans="1:27" x14ac:dyDescent="0.2">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row>
    <row r="251" spans="1:27" x14ac:dyDescent="0.2">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row>
    <row r="252" spans="1:27" x14ac:dyDescent="0.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row>
    <row r="253" spans="1:27" x14ac:dyDescent="0.2">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row>
    <row r="254" spans="1:27" x14ac:dyDescent="0.2">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row>
    <row r="255" spans="1:27" x14ac:dyDescent="0.2">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row>
    <row r="256" spans="1:27" x14ac:dyDescent="0.2">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row>
  </sheetData>
  <sheetProtection password="C03E" sheet="1" objects="1" scenarios="1" formatColumns="0" formatRows="0" autoFilter="0"/>
  <autoFilter ref="A1:X208" xr:uid="{00000000-0009-0000-0000-000000000000}">
    <filterColumn colId="2" showButton="0"/>
  </autoFilter>
  <mergeCells count="44">
    <mergeCell ref="V4:W4"/>
    <mergeCell ref="V5:W5"/>
    <mergeCell ref="V2:W3"/>
    <mergeCell ref="W196:X196"/>
    <mergeCell ref="F5:G5"/>
    <mergeCell ref="E11:F11"/>
    <mergeCell ref="D25:E25"/>
    <mergeCell ref="V6:W6"/>
    <mergeCell ref="V9:W9"/>
    <mergeCell ref="B13:F13"/>
    <mergeCell ref="D15:E15"/>
    <mergeCell ref="B196:D196"/>
    <mergeCell ref="D156:E156"/>
    <mergeCell ref="D68:E68"/>
    <mergeCell ref="B195:D195"/>
    <mergeCell ref="V11:W11"/>
    <mergeCell ref="B174:E174"/>
    <mergeCell ref="B139:F139"/>
    <mergeCell ref="B158:F158"/>
    <mergeCell ref="C1:D1"/>
    <mergeCell ref="C3:D3"/>
    <mergeCell ref="C2:D2"/>
    <mergeCell ref="B159:F159"/>
    <mergeCell ref="C71:E71"/>
    <mergeCell ref="D54:E54"/>
    <mergeCell ref="C14:F14"/>
    <mergeCell ref="D33:E33"/>
    <mergeCell ref="D34:E34"/>
    <mergeCell ref="D26:E26"/>
    <mergeCell ref="E7:F7"/>
    <mergeCell ref="E8:F8"/>
    <mergeCell ref="E9:F9"/>
    <mergeCell ref="B88:F88"/>
    <mergeCell ref="D61:E61"/>
    <mergeCell ref="D62:E62"/>
    <mergeCell ref="B160:F160"/>
    <mergeCell ref="B173:E173"/>
    <mergeCell ref="B172:E172"/>
    <mergeCell ref="E6:F6"/>
    <mergeCell ref="C42:F42"/>
    <mergeCell ref="D40:E40"/>
    <mergeCell ref="D43:E43"/>
    <mergeCell ref="D53:E53"/>
    <mergeCell ref="E10:F10"/>
  </mergeCells>
  <phoneticPr fontId="0" type="noConversion"/>
  <conditionalFormatting sqref="V188:V193 H188:U192">
    <cfRule type="cellIs" dxfId="2" priority="1" stopIfTrue="1" operator="equal">
      <formula>"devolución"</formula>
    </cfRule>
    <cfRule type="cellIs" dxfId="1" priority="2" stopIfTrue="1" operator="equal">
      <formula>"retención"</formula>
    </cfRule>
  </conditionalFormatting>
  <conditionalFormatting sqref="H193:U193">
    <cfRule type="cellIs" dxfId="0" priority="5" stopIfTrue="1" operator="lessThan">
      <formula>0</formula>
    </cfRule>
  </conditionalFormatting>
  <dataValidations count="8">
    <dataValidation type="list" allowBlank="1" showInputMessage="1" showErrorMessage="1" sqref="E196:F208" xr:uid="{00000000-0002-0000-0000-000000000000}">
      <formula1>$W$197:$W$208</formula1>
    </dataValidation>
    <dataValidation type="whole" operator="greaterThanOrEqual" allowBlank="1" showInputMessage="1" showErrorMessage="1" errorTitle="Valor erróneo" error="Sólo se admiten valores enteros no negativos." sqref="C165:D169" xr:uid="{00000000-0002-0000-0000-000001000000}">
      <formula1>0</formula1>
    </dataValidation>
    <dataValidation allowBlank="1" showInputMessage="1" showErrorMessage="1" errorTitle="Valor no válido" error="En este país no se permite tener 2 ó más cónyuges, y los amantes no pueden ser deducidos en el Impuesto a las Ganancias. Tampoco es posible tener una fracción de cónyuge (aunque a veces se sienta de esa manera), ni negativos" sqref="C164:D164" xr:uid="{00000000-0002-0000-0000-000002000000}"/>
    <dataValidation type="list" allowBlank="1" showInputMessage="1" showErrorMessage="1" sqref="G197:G208" xr:uid="{00000000-0002-0000-0000-000003000000}">
      <formula1>$X$197:$X$198</formula1>
    </dataValidation>
    <dataValidation type="list" allowBlank="1" showInputMessage="1" showErrorMessage="1" sqref="D197:D208" xr:uid="{00000000-0002-0000-0000-000004000000}">
      <formula1>$D$210:$D$212</formula1>
    </dataValidation>
    <dataValidation type="whole" allowBlank="1" showInputMessage="1" showErrorMessage="1" sqref="H5:V5" xr:uid="{00000000-0002-0000-0000-000005000000}">
      <formula1>0</formula1>
      <formula2>14</formula2>
    </dataValidation>
    <dataValidation operator="greaterThanOrEqual" allowBlank="1" showInputMessage="1" showErrorMessage="1" errorTitle="Prima de seguro p/fallec." error="Los valores abonados deben ser positivos" sqref="H139:V139" xr:uid="{00000000-0002-0000-0000-000006000000}"/>
    <dataValidation allowBlank="1" showDropDown="1" showInputMessage="1" showErrorMessage="1" sqref="A2:A208" xr:uid="{00000000-0002-0000-0000-000007000000}"/>
  </dataValidations>
  <printOptions horizontalCentered="1" gridLines="1" gridLinesSet="0"/>
  <pageMargins left="0.19685039370078741" right="0.19685039370078741" top="0.19685039370078741" bottom="0.19685039370078741" header="0" footer="0"/>
  <pageSetup paperSize="5" scale="41" fitToWidth="2"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O277"/>
  <sheetViews>
    <sheetView topLeftCell="A46" workbookViewId="0"/>
  </sheetViews>
  <sheetFormatPr baseColWidth="10" defaultRowHeight="12.75" x14ac:dyDescent="0.2"/>
  <cols>
    <col min="1" max="24" width="12.83203125" customWidth="1"/>
    <col min="25" max="25" width="13.33203125" bestFit="1" customWidth="1"/>
    <col min="26" max="27" width="12.1640625" bestFit="1" customWidth="1"/>
    <col min="28" max="28" width="13.33203125" bestFit="1" customWidth="1"/>
    <col min="29" max="30" width="12.1640625" bestFit="1" customWidth="1"/>
    <col min="31" max="31" width="13.33203125" bestFit="1" customWidth="1"/>
    <col min="32" max="33" width="12.1640625" bestFit="1" customWidth="1"/>
    <col min="34" max="34" width="14.5" bestFit="1" customWidth="1"/>
    <col min="35" max="36" width="12.33203125" bestFit="1" customWidth="1"/>
  </cols>
  <sheetData>
    <row r="1" spans="1:41" x14ac:dyDescent="0.2">
      <c r="A1" s="213" t="s">
        <v>36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41" x14ac:dyDescent="0.2">
      <c r="A2" s="36">
        <v>1</v>
      </c>
      <c r="B2" s="22"/>
      <c r="C2" s="22"/>
      <c r="D2" s="36">
        <v>2</v>
      </c>
      <c r="E2" s="22"/>
      <c r="F2" s="22"/>
      <c r="G2" s="36">
        <v>3</v>
      </c>
      <c r="H2" s="22"/>
      <c r="I2" s="22"/>
      <c r="J2" s="36">
        <v>4</v>
      </c>
      <c r="K2" s="22"/>
      <c r="L2" s="22"/>
      <c r="M2" s="36">
        <v>5</v>
      </c>
      <c r="N2" s="22"/>
      <c r="O2" s="22"/>
      <c r="P2" s="36">
        <v>6</v>
      </c>
      <c r="Q2" s="22"/>
      <c r="R2" s="22"/>
      <c r="S2" s="36">
        <v>7</v>
      </c>
      <c r="T2" s="22"/>
      <c r="U2" s="22"/>
      <c r="V2" s="36">
        <v>8</v>
      </c>
      <c r="W2" s="22"/>
      <c r="X2" s="22"/>
      <c r="Y2" s="36">
        <v>9</v>
      </c>
      <c r="Z2" s="22"/>
      <c r="AA2" s="22"/>
      <c r="AB2" s="22">
        <v>10</v>
      </c>
      <c r="AC2" s="22"/>
      <c r="AD2" s="22"/>
      <c r="AE2" s="22">
        <v>11</v>
      </c>
      <c r="AF2" s="22"/>
      <c r="AG2" s="22"/>
      <c r="AH2" s="22">
        <v>12</v>
      </c>
      <c r="AI2" s="22"/>
      <c r="AJ2" s="22"/>
      <c r="AK2" s="22"/>
      <c r="AL2" s="22"/>
      <c r="AM2" s="22"/>
    </row>
    <row r="3" spans="1:41" x14ac:dyDescent="0.2">
      <c r="A3" s="346" t="s">
        <v>0</v>
      </c>
      <c r="B3" s="347"/>
      <c r="C3" s="348"/>
      <c r="D3" s="346" t="s">
        <v>1</v>
      </c>
      <c r="E3" s="347"/>
      <c r="F3" s="348"/>
      <c r="G3" s="346" t="s">
        <v>2</v>
      </c>
      <c r="H3" s="347"/>
      <c r="I3" s="348"/>
      <c r="J3" s="346" t="s">
        <v>3</v>
      </c>
      <c r="K3" s="347"/>
      <c r="L3" s="348"/>
      <c r="M3" s="346" t="s">
        <v>4</v>
      </c>
      <c r="N3" s="347"/>
      <c r="O3" s="348"/>
      <c r="P3" s="346" t="s">
        <v>5</v>
      </c>
      <c r="Q3" s="347"/>
      <c r="R3" s="348"/>
      <c r="S3" s="346" t="s">
        <v>6</v>
      </c>
      <c r="T3" s="347"/>
      <c r="U3" s="348"/>
      <c r="V3" s="346" t="s">
        <v>7</v>
      </c>
      <c r="W3" s="347"/>
      <c r="X3" s="348"/>
      <c r="Y3" s="346" t="s">
        <v>8</v>
      </c>
      <c r="Z3" s="347"/>
      <c r="AA3" s="348"/>
      <c r="AB3" s="346" t="s">
        <v>9</v>
      </c>
      <c r="AC3" s="347"/>
      <c r="AD3" s="348"/>
      <c r="AE3" s="346" t="s">
        <v>10</v>
      </c>
      <c r="AF3" s="347"/>
      <c r="AG3" s="348"/>
      <c r="AH3" s="346" t="s">
        <v>11</v>
      </c>
      <c r="AI3" s="347"/>
      <c r="AJ3" s="348"/>
      <c r="AK3" s="22"/>
      <c r="AL3" s="22"/>
      <c r="AM3" s="22"/>
    </row>
    <row r="4" spans="1:41" x14ac:dyDescent="0.2">
      <c r="A4" s="214" t="s">
        <v>13</v>
      </c>
      <c r="B4" s="193" t="s">
        <v>14</v>
      </c>
      <c r="C4" s="98" t="s">
        <v>12</v>
      </c>
      <c r="D4" s="214" t="s">
        <v>13</v>
      </c>
      <c r="E4" s="193" t="s">
        <v>14</v>
      </c>
      <c r="F4" s="98" t="s">
        <v>12</v>
      </c>
      <c r="G4" s="214" t="s">
        <v>13</v>
      </c>
      <c r="H4" s="193" t="s">
        <v>14</v>
      </c>
      <c r="I4" s="98" t="s">
        <v>12</v>
      </c>
      <c r="J4" s="214" t="s">
        <v>13</v>
      </c>
      <c r="K4" s="193" t="s">
        <v>14</v>
      </c>
      <c r="L4" s="98" t="s">
        <v>12</v>
      </c>
      <c r="M4" s="214" t="s">
        <v>15</v>
      </c>
      <c r="N4" s="193" t="s">
        <v>14</v>
      </c>
      <c r="O4" s="98" t="s">
        <v>12</v>
      </c>
      <c r="P4" s="214" t="s">
        <v>15</v>
      </c>
      <c r="Q4" s="193" t="s">
        <v>14</v>
      </c>
      <c r="R4" s="98" t="s">
        <v>12</v>
      </c>
      <c r="S4" s="214" t="s">
        <v>15</v>
      </c>
      <c r="T4" s="193" t="s">
        <v>14</v>
      </c>
      <c r="U4" s="98" t="s">
        <v>12</v>
      </c>
      <c r="V4" s="214" t="s">
        <v>15</v>
      </c>
      <c r="W4" s="193" t="s">
        <v>14</v>
      </c>
      <c r="X4" s="98" t="s">
        <v>12</v>
      </c>
      <c r="Y4" s="214" t="s">
        <v>15</v>
      </c>
      <c r="Z4" s="193" t="s">
        <v>14</v>
      </c>
      <c r="AA4" s="98" t="s">
        <v>12</v>
      </c>
      <c r="AB4" s="214" t="s">
        <v>15</v>
      </c>
      <c r="AC4" s="193" t="s">
        <v>14</v>
      </c>
      <c r="AD4" s="98" t="s">
        <v>12</v>
      </c>
      <c r="AE4" s="214" t="s">
        <v>15</v>
      </c>
      <c r="AF4" s="193" t="s">
        <v>14</v>
      </c>
      <c r="AG4" s="98" t="s">
        <v>12</v>
      </c>
      <c r="AH4" s="214" t="s">
        <v>15</v>
      </c>
      <c r="AI4" s="193" t="s">
        <v>14</v>
      </c>
      <c r="AJ4" s="215" t="s">
        <v>12</v>
      </c>
      <c r="AK4" s="22"/>
      <c r="AL4" s="22"/>
      <c r="AM4" s="22"/>
    </row>
    <row r="5" spans="1:41" x14ac:dyDescent="0.2">
      <c r="A5" s="9">
        <v>-9999999</v>
      </c>
      <c r="B5" s="235">
        <v>0</v>
      </c>
      <c r="C5" s="10">
        <v>0</v>
      </c>
      <c r="D5" s="9">
        <v>-9999999</v>
      </c>
      <c r="E5" s="235">
        <v>0</v>
      </c>
      <c r="F5" s="10">
        <v>0</v>
      </c>
      <c r="G5" s="9">
        <v>-9999999</v>
      </c>
      <c r="H5" s="235">
        <v>0</v>
      </c>
      <c r="I5" s="10">
        <v>0</v>
      </c>
      <c r="J5" s="9">
        <v>-9999999</v>
      </c>
      <c r="K5" s="235">
        <v>0</v>
      </c>
      <c r="L5" s="10">
        <v>0</v>
      </c>
      <c r="M5" s="9">
        <v>-9999999</v>
      </c>
      <c r="N5" s="235">
        <v>0</v>
      </c>
      <c r="O5" s="10">
        <v>0</v>
      </c>
      <c r="P5" s="9">
        <v>-9999999</v>
      </c>
      <c r="Q5" s="235">
        <v>0</v>
      </c>
      <c r="R5" s="10">
        <v>0</v>
      </c>
      <c r="S5" s="9">
        <v>-9999999</v>
      </c>
      <c r="T5" s="235">
        <v>0</v>
      </c>
      <c r="U5" s="10">
        <v>0</v>
      </c>
      <c r="V5" s="9">
        <v>-9999999</v>
      </c>
      <c r="W5" s="235">
        <v>0</v>
      </c>
      <c r="X5" s="10">
        <v>0</v>
      </c>
      <c r="Y5" s="9">
        <v>-9999999</v>
      </c>
      <c r="Z5" s="235">
        <v>0</v>
      </c>
      <c r="AA5" s="10">
        <v>0</v>
      </c>
      <c r="AB5" s="9">
        <v>-9999999</v>
      </c>
      <c r="AC5" s="235">
        <v>0</v>
      </c>
      <c r="AD5" s="10">
        <v>0</v>
      </c>
      <c r="AE5" s="9">
        <v>-9999999</v>
      </c>
      <c r="AF5" s="235">
        <v>0</v>
      </c>
      <c r="AG5" s="10">
        <v>0</v>
      </c>
      <c r="AH5" s="9">
        <v>-9999999</v>
      </c>
      <c r="AI5" s="235">
        <v>0</v>
      </c>
      <c r="AJ5" s="10">
        <v>0</v>
      </c>
      <c r="AK5" s="59"/>
      <c r="AL5" s="59"/>
      <c r="AM5" s="59"/>
      <c r="AN5" s="1"/>
      <c r="AO5" s="1"/>
    </row>
    <row r="6" spans="1:41" x14ac:dyDescent="0.2">
      <c r="A6" s="9">
        <v>0.01</v>
      </c>
      <c r="B6" s="235">
        <v>0</v>
      </c>
      <c r="C6" s="10">
        <v>0.05</v>
      </c>
      <c r="D6" s="9">
        <v>0.01</v>
      </c>
      <c r="E6" s="235">
        <v>0</v>
      </c>
      <c r="F6" s="10">
        <v>0.05</v>
      </c>
      <c r="G6" s="9">
        <v>0.01</v>
      </c>
      <c r="H6" s="235">
        <v>0</v>
      </c>
      <c r="I6" s="10">
        <v>0.05</v>
      </c>
      <c r="J6" s="9">
        <v>0.01</v>
      </c>
      <c r="K6" s="235">
        <v>0</v>
      </c>
      <c r="L6" s="10">
        <v>0.05</v>
      </c>
      <c r="M6" s="9">
        <v>0.01</v>
      </c>
      <c r="N6" s="235">
        <v>0</v>
      </c>
      <c r="O6" s="10">
        <v>0.05</v>
      </c>
      <c r="P6" s="9">
        <v>0.01</v>
      </c>
      <c r="Q6" s="235">
        <v>0</v>
      </c>
      <c r="R6" s="10">
        <v>0.05</v>
      </c>
      <c r="S6" s="9">
        <v>0.01</v>
      </c>
      <c r="T6" s="235">
        <v>0</v>
      </c>
      <c r="U6" s="10">
        <v>0.05</v>
      </c>
      <c r="V6" s="9">
        <v>0.01</v>
      </c>
      <c r="W6" s="235">
        <v>0</v>
      </c>
      <c r="X6" s="10">
        <v>0.05</v>
      </c>
      <c r="Y6" s="9">
        <v>0.01</v>
      </c>
      <c r="Z6" s="235">
        <v>0</v>
      </c>
      <c r="AA6" s="10">
        <v>0.05</v>
      </c>
      <c r="AB6" s="9">
        <v>0.01</v>
      </c>
      <c r="AC6" s="235">
        <v>0</v>
      </c>
      <c r="AD6" s="10">
        <v>0.05</v>
      </c>
      <c r="AE6" s="9">
        <v>0.01</v>
      </c>
      <c r="AF6" s="235">
        <v>0</v>
      </c>
      <c r="AG6" s="10">
        <v>0.05</v>
      </c>
      <c r="AH6" s="9">
        <v>0.01</v>
      </c>
      <c r="AI6" s="235">
        <v>0</v>
      </c>
      <c r="AJ6" s="10">
        <v>0.05</v>
      </c>
      <c r="AK6" s="59"/>
      <c r="AL6" s="59"/>
      <c r="AM6" s="59"/>
      <c r="AN6" s="1"/>
      <c r="AO6" s="1"/>
    </row>
    <row r="7" spans="1:41" x14ac:dyDescent="0.2">
      <c r="A7" s="9">
        <f t="shared" ref="A7:A14" si="0">+ROUND($AH7/12*A$2,2)</f>
        <v>5377.72</v>
      </c>
      <c r="B7" s="235">
        <f t="shared" ref="B7:B14" si="1">+B6+ROUND((A7-A6)*C6,2)</f>
        <v>268.89</v>
      </c>
      <c r="C7" s="10">
        <f t="shared" ref="C7:C14" si="2">+F7</f>
        <v>0.09</v>
      </c>
      <c r="D7" s="9">
        <f>+ROUND($AH7/12*D$2,2)</f>
        <v>10755.44</v>
      </c>
      <c r="E7" s="235">
        <f t="shared" ref="E7:E14" si="3">+E6+ROUND((D7-D6)*F6,2)</f>
        <v>537.77</v>
      </c>
      <c r="F7" s="10">
        <f t="shared" ref="F7:F14" si="4">+I7</f>
        <v>0.09</v>
      </c>
      <c r="G7" s="9">
        <f>+ROUND($AH7/12*G$2,2)</f>
        <v>16133.16</v>
      </c>
      <c r="H7" s="235">
        <f t="shared" ref="H7:H14" si="5">+H6+ROUND((G7-G6)*I6,2)</f>
        <v>806.66</v>
      </c>
      <c r="I7" s="10">
        <f t="shared" ref="I7:I14" si="6">+L7</f>
        <v>0.09</v>
      </c>
      <c r="J7" s="9">
        <f>+ROUND($AH7/12*J$2,2)</f>
        <v>21510.880000000001</v>
      </c>
      <c r="K7" s="235">
        <f t="shared" ref="K7:K14" si="7">+K6+ROUND((J7-J6)*L6,2)</f>
        <v>1075.54</v>
      </c>
      <c r="L7" s="10">
        <f t="shared" ref="L7:L14" si="8">+O7</f>
        <v>0.09</v>
      </c>
      <c r="M7" s="9">
        <f>+ROUND($AH7/12*M$2,2)</f>
        <v>26888.6</v>
      </c>
      <c r="N7" s="235">
        <f t="shared" ref="N7:N14" si="9">+N6+ROUND((M7-M6)*O6,2)</f>
        <v>1344.43</v>
      </c>
      <c r="O7" s="10">
        <f t="shared" ref="O7:O14" si="10">+R7</f>
        <v>0.09</v>
      </c>
      <c r="P7" s="9">
        <f>+ROUND($AH7/12*P$2,2)</f>
        <v>32266.32</v>
      </c>
      <c r="Q7" s="235">
        <f t="shared" ref="Q7:Q14" si="11">+Q6+ROUND((P7-P6)*R6,2)</f>
        <v>1613.32</v>
      </c>
      <c r="R7" s="10">
        <f t="shared" ref="R7:R14" si="12">+U7</f>
        <v>0.09</v>
      </c>
      <c r="S7" s="9">
        <f>+ROUND($AH7/12*S$2,2)</f>
        <v>37644.04</v>
      </c>
      <c r="T7" s="235">
        <f t="shared" ref="T7:T14" si="13">+T6+ROUND((S7-S6)*U6,2)</f>
        <v>1882.2</v>
      </c>
      <c r="U7" s="10">
        <f t="shared" ref="U7:U14" si="14">+X7</f>
        <v>0.09</v>
      </c>
      <c r="V7" s="9">
        <f>+ROUND($AH7/12*V$2,2)</f>
        <v>43021.760000000002</v>
      </c>
      <c r="W7" s="235">
        <f t="shared" ref="W7:W14" si="15">+W6+ROUND((V7-V6)*X6,2)</f>
        <v>2151.09</v>
      </c>
      <c r="X7" s="10">
        <f t="shared" ref="X7:X14" si="16">+AA7</f>
        <v>0.09</v>
      </c>
      <c r="Y7" s="9">
        <f>+ROUND($AH7/12*Y$2,2)</f>
        <v>48399.48</v>
      </c>
      <c r="Z7" s="235">
        <f t="shared" ref="Z7:Z14" si="17">+Z6+ROUND((Y7-Y6)*AA6,2)</f>
        <v>2419.9699999999998</v>
      </c>
      <c r="AA7" s="10">
        <f t="shared" ref="AA7:AA14" si="18">+AD7</f>
        <v>0.09</v>
      </c>
      <c r="AB7" s="9">
        <f>+ROUND($AH7/12*AB$2,2)</f>
        <v>53777.2</v>
      </c>
      <c r="AC7" s="235">
        <f t="shared" ref="AC7:AC14" si="19">+AC6+ROUND((AB7-AB6)*AD6,2)</f>
        <v>2688.86</v>
      </c>
      <c r="AD7" s="10">
        <f t="shared" ref="AD7:AD14" si="20">+AG7</f>
        <v>0.09</v>
      </c>
      <c r="AE7" s="9">
        <f>+ROUND($AH7/12*AE$2,2)</f>
        <v>59154.92</v>
      </c>
      <c r="AF7" s="235">
        <f t="shared" ref="AF7:AF14" si="21">+AF6+ROUND((AE7-AE6)*AG6,2)</f>
        <v>2957.75</v>
      </c>
      <c r="AG7" s="10">
        <f t="shared" ref="AG7:AG14" si="22">+AJ7</f>
        <v>0.09</v>
      </c>
      <c r="AH7" s="9">
        <v>64532.639999999999</v>
      </c>
      <c r="AI7" s="235">
        <f>+ROUND(AH7*0.05,2)</f>
        <v>3226.63</v>
      </c>
      <c r="AJ7" s="10">
        <v>0.09</v>
      </c>
      <c r="AK7" s="59"/>
      <c r="AL7" s="59"/>
      <c r="AM7" s="59"/>
      <c r="AN7" s="1"/>
      <c r="AO7" s="1"/>
    </row>
    <row r="8" spans="1:41" x14ac:dyDescent="0.2">
      <c r="A8" s="9">
        <f t="shared" si="0"/>
        <v>10755.44</v>
      </c>
      <c r="B8" s="235">
        <f t="shared" si="1"/>
        <v>752.88</v>
      </c>
      <c r="C8" s="10">
        <f t="shared" si="2"/>
        <v>0.12</v>
      </c>
      <c r="D8" s="9">
        <f t="shared" ref="D8:D14" si="23">+ROUND($AH8/12*D$2,2)</f>
        <v>21510.880000000001</v>
      </c>
      <c r="E8" s="235">
        <f t="shared" si="3"/>
        <v>1505.76</v>
      </c>
      <c r="F8" s="10">
        <f t="shared" si="4"/>
        <v>0.12</v>
      </c>
      <c r="G8" s="9">
        <f t="shared" ref="G8:G14" si="24">+ROUND($AH8/12*G$2,2)</f>
        <v>32266.32</v>
      </c>
      <c r="H8" s="235">
        <f t="shared" si="5"/>
        <v>2258.64</v>
      </c>
      <c r="I8" s="10">
        <f t="shared" si="6"/>
        <v>0.12</v>
      </c>
      <c r="J8" s="9">
        <f t="shared" ref="J8:J14" si="25">+ROUND($AH8/12*J$2,2)</f>
        <v>43021.760000000002</v>
      </c>
      <c r="K8" s="235">
        <f t="shared" si="7"/>
        <v>3011.52</v>
      </c>
      <c r="L8" s="10">
        <f t="shared" si="8"/>
        <v>0.12</v>
      </c>
      <c r="M8" s="9">
        <f t="shared" ref="M8:M14" si="26">+ROUND($AH8/12*M$2,2)</f>
        <v>53777.2</v>
      </c>
      <c r="N8" s="235">
        <f t="shared" si="9"/>
        <v>3764.3999999999996</v>
      </c>
      <c r="O8" s="10">
        <f t="shared" si="10"/>
        <v>0.12</v>
      </c>
      <c r="P8" s="9">
        <f t="shared" ref="P8:P14" si="27">+ROUND($AH8/12*P$2,2)</f>
        <v>64532.65</v>
      </c>
      <c r="Q8" s="235">
        <f t="shared" si="11"/>
        <v>4517.29</v>
      </c>
      <c r="R8" s="10">
        <f t="shared" si="12"/>
        <v>0.12</v>
      </c>
      <c r="S8" s="9">
        <f t="shared" ref="S8:S14" si="28">+ROUND($AH8/12*S$2,2)</f>
        <v>75288.09</v>
      </c>
      <c r="T8" s="235">
        <f t="shared" si="13"/>
        <v>5270.16</v>
      </c>
      <c r="U8" s="10">
        <f t="shared" si="14"/>
        <v>0.12</v>
      </c>
      <c r="V8" s="9">
        <f t="shared" ref="V8:V14" si="29">+ROUND($AH8/12*V$2,2)</f>
        <v>86043.53</v>
      </c>
      <c r="W8" s="235">
        <f t="shared" si="15"/>
        <v>6023.05</v>
      </c>
      <c r="X8" s="10">
        <f t="shared" si="16"/>
        <v>0.12</v>
      </c>
      <c r="Y8" s="9">
        <f t="shared" ref="Y8:Y14" si="30">+ROUND($AH8/12*Y$2,2)</f>
        <v>96798.97</v>
      </c>
      <c r="Z8" s="235">
        <f t="shared" si="17"/>
        <v>6775.92</v>
      </c>
      <c r="AA8" s="10">
        <f t="shared" si="18"/>
        <v>0.12</v>
      </c>
      <c r="AB8" s="9">
        <f t="shared" ref="AB8:AB14" si="31">+ROUND($AH8/12*AB$2,2)</f>
        <v>107554.41</v>
      </c>
      <c r="AC8" s="235">
        <f t="shared" si="19"/>
        <v>7528.8099999999995</v>
      </c>
      <c r="AD8" s="10">
        <f t="shared" si="20"/>
        <v>0.12</v>
      </c>
      <c r="AE8" s="9">
        <f t="shared" ref="AE8:AE14" si="32">+ROUND($AH8/12*AE$2,2)</f>
        <v>118309.85</v>
      </c>
      <c r="AF8" s="235">
        <f t="shared" si="21"/>
        <v>8281.6899999999987</v>
      </c>
      <c r="AG8" s="10">
        <f t="shared" si="22"/>
        <v>0.12</v>
      </c>
      <c r="AH8" s="9">
        <v>129065.29</v>
      </c>
      <c r="AI8" s="235">
        <f t="shared" ref="AI8:AI14" si="33">+AI7+ROUND((AH8-AH7)*AJ7,2)</f>
        <v>9034.57</v>
      </c>
      <c r="AJ8" s="10">
        <v>0.12</v>
      </c>
      <c r="AK8" s="59"/>
      <c r="AL8" s="59"/>
      <c r="AM8" s="59"/>
      <c r="AN8" s="1"/>
      <c r="AO8" s="1"/>
    </row>
    <row r="9" spans="1:41" x14ac:dyDescent="0.2">
      <c r="A9" s="9">
        <f t="shared" si="0"/>
        <v>16133.16</v>
      </c>
      <c r="B9" s="235">
        <f t="shared" si="1"/>
        <v>1398.21</v>
      </c>
      <c r="C9" s="10">
        <f t="shared" si="2"/>
        <v>0.15</v>
      </c>
      <c r="D9" s="9">
        <f t="shared" si="23"/>
        <v>32266.32</v>
      </c>
      <c r="E9" s="235">
        <f t="shared" si="3"/>
        <v>2796.41</v>
      </c>
      <c r="F9" s="10">
        <f t="shared" si="4"/>
        <v>0.15</v>
      </c>
      <c r="G9" s="9">
        <f t="shared" si="24"/>
        <v>48399.48</v>
      </c>
      <c r="H9" s="235">
        <f t="shared" si="5"/>
        <v>4194.62</v>
      </c>
      <c r="I9" s="10">
        <f t="shared" si="6"/>
        <v>0.15</v>
      </c>
      <c r="J9" s="9">
        <f t="shared" si="25"/>
        <v>64532.639999999999</v>
      </c>
      <c r="K9" s="235">
        <f t="shared" si="7"/>
        <v>5592.83</v>
      </c>
      <c r="L9" s="10">
        <f t="shared" si="8"/>
        <v>0.15</v>
      </c>
      <c r="M9" s="9">
        <f t="shared" si="26"/>
        <v>80665.8</v>
      </c>
      <c r="N9" s="235">
        <f t="shared" si="9"/>
        <v>6991.03</v>
      </c>
      <c r="O9" s="10">
        <f t="shared" si="10"/>
        <v>0.15</v>
      </c>
      <c r="P9" s="9">
        <f t="shared" si="27"/>
        <v>96798.97</v>
      </c>
      <c r="Q9" s="235">
        <f t="shared" si="11"/>
        <v>8389.25</v>
      </c>
      <c r="R9" s="10">
        <f t="shared" si="12"/>
        <v>0.15</v>
      </c>
      <c r="S9" s="9">
        <f t="shared" si="28"/>
        <v>112932.13</v>
      </c>
      <c r="T9" s="235">
        <f t="shared" si="13"/>
        <v>9787.4399999999987</v>
      </c>
      <c r="U9" s="10">
        <f t="shared" si="14"/>
        <v>0.15</v>
      </c>
      <c r="V9" s="9">
        <f t="shared" si="29"/>
        <v>129065.29</v>
      </c>
      <c r="W9" s="235">
        <f t="shared" si="15"/>
        <v>11185.66</v>
      </c>
      <c r="X9" s="10">
        <f t="shared" si="16"/>
        <v>0.15</v>
      </c>
      <c r="Y9" s="9">
        <f t="shared" si="30"/>
        <v>145198.45000000001</v>
      </c>
      <c r="Z9" s="235">
        <f t="shared" si="17"/>
        <v>12583.86</v>
      </c>
      <c r="AA9" s="10">
        <f t="shared" si="18"/>
        <v>0.15</v>
      </c>
      <c r="AB9" s="9">
        <f t="shared" si="31"/>
        <v>161331.60999999999</v>
      </c>
      <c r="AC9" s="235">
        <f t="shared" si="19"/>
        <v>13982.07</v>
      </c>
      <c r="AD9" s="10">
        <f t="shared" si="20"/>
        <v>0.15</v>
      </c>
      <c r="AE9" s="9">
        <f t="shared" si="32"/>
        <v>177464.77</v>
      </c>
      <c r="AF9" s="235">
        <f t="shared" si="21"/>
        <v>15380.279999999999</v>
      </c>
      <c r="AG9" s="10">
        <f t="shared" si="22"/>
        <v>0.15</v>
      </c>
      <c r="AH9" s="9">
        <v>193597.93</v>
      </c>
      <c r="AI9" s="235">
        <f t="shared" si="33"/>
        <v>16778.489999999998</v>
      </c>
      <c r="AJ9" s="10">
        <v>0.15</v>
      </c>
      <c r="AK9" s="59"/>
      <c r="AL9" s="59"/>
      <c r="AM9" s="59"/>
      <c r="AN9" s="1"/>
      <c r="AO9" s="1"/>
    </row>
    <row r="10" spans="1:41" x14ac:dyDescent="0.2">
      <c r="A10" s="9">
        <f t="shared" si="0"/>
        <v>21510.880000000001</v>
      </c>
      <c r="B10" s="235">
        <f t="shared" si="1"/>
        <v>2204.87</v>
      </c>
      <c r="C10" s="10">
        <f t="shared" si="2"/>
        <v>0.19</v>
      </c>
      <c r="D10" s="9">
        <f t="shared" si="23"/>
        <v>43021.760000000002</v>
      </c>
      <c r="E10" s="235">
        <f t="shared" si="3"/>
        <v>4409.7299999999996</v>
      </c>
      <c r="F10" s="10">
        <f t="shared" si="4"/>
        <v>0.19</v>
      </c>
      <c r="G10" s="9">
        <f t="shared" si="24"/>
        <v>64532.65</v>
      </c>
      <c r="H10" s="235">
        <f t="shared" si="5"/>
        <v>6614.6</v>
      </c>
      <c r="I10" s="10">
        <f t="shared" si="6"/>
        <v>0.19</v>
      </c>
      <c r="J10" s="9">
        <f t="shared" si="25"/>
        <v>86043.53</v>
      </c>
      <c r="K10" s="235">
        <f t="shared" si="7"/>
        <v>8819.4599999999991</v>
      </c>
      <c r="L10" s="10">
        <f t="shared" si="8"/>
        <v>0.19</v>
      </c>
      <c r="M10" s="9">
        <f t="shared" si="26"/>
        <v>107554.41</v>
      </c>
      <c r="N10" s="235">
        <f t="shared" si="9"/>
        <v>11024.32</v>
      </c>
      <c r="O10" s="10">
        <f t="shared" si="10"/>
        <v>0.19</v>
      </c>
      <c r="P10" s="9">
        <f t="shared" si="27"/>
        <v>129065.29</v>
      </c>
      <c r="Q10" s="235">
        <f t="shared" si="11"/>
        <v>13229.2</v>
      </c>
      <c r="R10" s="10">
        <f t="shared" si="12"/>
        <v>0.19</v>
      </c>
      <c r="S10" s="9">
        <f t="shared" si="28"/>
        <v>150576.17000000001</v>
      </c>
      <c r="T10" s="235">
        <f t="shared" si="13"/>
        <v>15434.05</v>
      </c>
      <c r="U10" s="10">
        <f t="shared" si="14"/>
        <v>0.19</v>
      </c>
      <c r="V10" s="9">
        <f t="shared" si="29"/>
        <v>172087.05</v>
      </c>
      <c r="W10" s="235">
        <f t="shared" si="15"/>
        <v>17638.919999999998</v>
      </c>
      <c r="X10" s="10">
        <f t="shared" si="16"/>
        <v>0.19</v>
      </c>
      <c r="Y10" s="9">
        <f t="shared" si="30"/>
        <v>193597.94</v>
      </c>
      <c r="Z10" s="235">
        <f t="shared" si="17"/>
        <v>19843.78</v>
      </c>
      <c r="AA10" s="10">
        <f t="shared" si="18"/>
        <v>0.19</v>
      </c>
      <c r="AB10" s="9">
        <f t="shared" si="31"/>
        <v>215108.82</v>
      </c>
      <c r="AC10" s="235">
        <f t="shared" si="19"/>
        <v>22048.65</v>
      </c>
      <c r="AD10" s="10">
        <f t="shared" si="20"/>
        <v>0.19</v>
      </c>
      <c r="AE10" s="9">
        <f t="shared" si="32"/>
        <v>236619.7</v>
      </c>
      <c r="AF10" s="235">
        <f t="shared" si="21"/>
        <v>24253.519999999997</v>
      </c>
      <c r="AG10" s="10">
        <f t="shared" si="22"/>
        <v>0.19</v>
      </c>
      <c r="AH10" s="9">
        <v>258130.58</v>
      </c>
      <c r="AI10" s="235">
        <f t="shared" si="33"/>
        <v>26458.39</v>
      </c>
      <c r="AJ10" s="10">
        <v>0.19</v>
      </c>
      <c r="AK10" s="59"/>
      <c r="AL10" s="59"/>
      <c r="AM10" s="59"/>
      <c r="AN10" s="1"/>
      <c r="AO10" s="1"/>
    </row>
    <row r="11" spans="1:41" x14ac:dyDescent="0.2">
      <c r="A11" s="9">
        <f t="shared" si="0"/>
        <v>32266.32</v>
      </c>
      <c r="B11" s="235">
        <f t="shared" si="1"/>
        <v>4248.3999999999996</v>
      </c>
      <c r="C11" s="10">
        <f t="shared" si="2"/>
        <v>0.23</v>
      </c>
      <c r="D11" s="9">
        <f t="shared" si="23"/>
        <v>64532.639999999999</v>
      </c>
      <c r="E11" s="235">
        <f t="shared" si="3"/>
        <v>8496.7999999999993</v>
      </c>
      <c r="F11" s="10">
        <f t="shared" si="4"/>
        <v>0.23</v>
      </c>
      <c r="G11" s="9">
        <f t="shared" si="24"/>
        <v>96798.97</v>
      </c>
      <c r="H11" s="235">
        <f t="shared" si="5"/>
        <v>12745.2</v>
      </c>
      <c r="I11" s="10">
        <f t="shared" si="6"/>
        <v>0.23</v>
      </c>
      <c r="J11" s="9">
        <f t="shared" si="25"/>
        <v>129065.29</v>
      </c>
      <c r="K11" s="235">
        <f t="shared" si="7"/>
        <v>16993.59</v>
      </c>
      <c r="L11" s="10">
        <f t="shared" si="8"/>
        <v>0.23</v>
      </c>
      <c r="M11" s="9">
        <f t="shared" si="26"/>
        <v>161331.60999999999</v>
      </c>
      <c r="N11" s="235">
        <f t="shared" si="9"/>
        <v>21241.989999999998</v>
      </c>
      <c r="O11" s="10">
        <f t="shared" si="10"/>
        <v>0.23</v>
      </c>
      <c r="P11" s="9">
        <f t="shared" si="27"/>
        <v>193597.93</v>
      </c>
      <c r="Q11" s="235">
        <f t="shared" si="11"/>
        <v>25490.400000000001</v>
      </c>
      <c r="R11" s="10">
        <f t="shared" si="12"/>
        <v>0.23</v>
      </c>
      <c r="S11" s="9">
        <f t="shared" si="28"/>
        <v>225864.25</v>
      </c>
      <c r="T11" s="235">
        <f t="shared" si="13"/>
        <v>29738.79</v>
      </c>
      <c r="U11" s="10">
        <f t="shared" si="14"/>
        <v>0.23</v>
      </c>
      <c r="V11" s="9">
        <f t="shared" si="29"/>
        <v>258130.57</v>
      </c>
      <c r="W11" s="235">
        <f t="shared" si="15"/>
        <v>33987.19</v>
      </c>
      <c r="X11" s="10">
        <f t="shared" si="16"/>
        <v>0.23</v>
      </c>
      <c r="Y11" s="9">
        <f t="shared" si="30"/>
        <v>290396.90000000002</v>
      </c>
      <c r="Z11" s="235">
        <f t="shared" si="17"/>
        <v>38235.58</v>
      </c>
      <c r="AA11" s="10">
        <f t="shared" si="18"/>
        <v>0.23</v>
      </c>
      <c r="AB11" s="9">
        <f t="shared" si="31"/>
        <v>322663.21999999997</v>
      </c>
      <c r="AC11" s="235">
        <f t="shared" si="19"/>
        <v>42483.990000000005</v>
      </c>
      <c r="AD11" s="10">
        <f t="shared" si="20"/>
        <v>0.23</v>
      </c>
      <c r="AE11" s="9">
        <f t="shared" si="32"/>
        <v>354929.54</v>
      </c>
      <c r="AF11" s="235">
        <f t="shared" si="21"/>
        <v>46732.39</v>
      </c>
      <c r="AG11" s="10">
        <f t="shared" si="22"/>
        <v>0.23</v>
      </c>
      <c r="AH11" s="9">
        <v>387195.86</v>
      </c>
      <c r="AI11" s="235">
        <f t="shared" si="33"/>
        <v>50980.79</v>
      </c>
      <c r="AJ11" s="10">
        <v>0.23</v>
      </c>
      <c r="AK11" s="59"/>
      <c r="AL11" s="59"/>
      <c r="AM11" s="59"/>
      <c r="AN11" s="1"/>
      <c r="AO11" s="1"/>
    </row>
    <row r="12" spans="1:41" x14ac:dyDescent="0.2">
      <c r="A12" s="9">
        <f t="shared" si="0"/>
        <v>43021.760000000002</v>
      </c>
      <c r="B12" s="235">
        <f t="shared" si="1"/>
        <v>6722.15</v>
      </c>
      <c r="C12" s="10">
        <f t="shared" si="2"/>
        <v>0.27</v>
      </c>
      <c r="D12" s="9">
        <f t="shared" si="23"/>
        <v>86043.520000000004</v>
      </c>
      <c r="E12" s="235">
        <f t="shared" si="3"/>
        <v>13444.3</v>
      </c>
      <c r="F12" s="10">
        <f t="shared" si="4"/>
        <v>0.27</v>
      </c>
      <c r="G12" s="9">
        <f t="shared" si="24"/>
        <v>129065.29</v>
      </c>
      <c r="H12" s="235">
        <f t="shared" si="5"/>
        <v>20166.45</v>
      </c>
      <c r="I12" s="10">
        <f t="shared" si="6"/>
        <v>0.27</v>
      </c>
      <c r="J12" s="9">
        <f t="shared" si="25"/>
        <v>172087.05</v>
      </c>
      <c r="K12" s="235">
        <f t="shared" si="7"/>
        <v>26888.59</v>
      </c>
      <c r="L12" s="10">
        <f t="shared" si="8"/>
        <v>0.27</v>
      </c>
      <c r="M12" s="9">
        <f t="shared" si="26"/>
        <v>215108.81</v>
      </c>
      <c r="N12" s="235">
        <f t="shared" si="9"/>
        <v>33610.75</v>
      </c>
      <c r="O12" s="10">
        <f t="shared" si="10"/>
        <v>0.27</v>
      </c>
      <c r="P12" s="9">
        <f t="shared" si="27"/>
        <v>258130.57</v>
      </c>
      <c r="Q12" s="235">
        <f t="shared" si="11"/>
        <v>40332.910000000003</v>
      </c>
      <c r="R12" s="10">
        <f t="shared" si="12"/>
        <v>0.27</v>
      </c>
      <c r="S12" s="9">
        <f t="shared" si="28"/>
        <v>301152.33</v>
      </c>
      <c r="T12" s="235">
        <f t="shared" si="13"/>
        <v>47055.05</v>
      </c>
      <c r="U12" s="10">
        <f t="shared" si="14"/>
        <v>0.27</v>
      </c>
      <c r="V12" s="9">
        <f t="shared" si="29"/>
        <v>344174.09</v>
      </c>
      <c r="W12" s="235">
        <f t="shared" si="15"/>
        <v>53777.2</v>
      </c>
      <c r="X12" s="10">
        <f t="shared" si="16"/>
        <v>0.27</v>
      </c>
      <c r="Y12" s="9">
        <f t="shared" si="30"/>
        <v>387195.86</v>
      </c>
      <c r="Z12" s="235">
        <f t="shared" si="17"/>
        <v>60499.34</v>
      </c>
      <c r="AA12" s="10">
        <f t="shared" si="18"/>
        <v>0.27</v>
      </c>
      <c r="AB12" s="9">
        <f t="shared" si="31"/>
        <v>430217.62</v>
      </c>
      <c r="AC12" s="235">
        <f t="shared" si="19"/>
        <v>67221.5</v>
      </c>
      <c r="AD12" s="10">
        <f t="shared" si="20"/>
        <v>0.27</v>
      </c>
      <c r="AE12" s="9">
        <f t="shared" si="32"/>
        <v>473239.38</v>
      </c>
      <c r="AF12" s="235">
        <f t="shared" si="21"/>
        <v>73943.649999999994</v>
      </c>
      <c r="AG12" s="10">
        <f t="shared" si="22"/>
        <v>0.27</v>
      </c>
      <c r="AH12" s="9">
        <v>516261.14</v>
      </c>
      <c r="AI12" s="235">
        <f t="shared" si="33"/>
        <v>80665.8</v>
      </c>
      <c r="AJ12" s="10">
        <v>0.27</v>
      </c>
      <c r="AK12" s="59"/>
      <c r="AL12" s="59"/>
      <c r="AM12" s="59"/>
      <c r="AN12" s="1"/>
      <c r="AO12" s="1"/>
    </row>
    <row r="13" spans="1:41" x14ac:dyDescent="0.2">
      <c r="A13" s="9">
        <f t="shared" si="0"/>
        <v>64532.639999999999</v>
      </c>
      <c r="B13" s="235">
        <f t="shared" si="1"/>
        <v>12530.09</v>
      </c>
      <c r="C13" s="10">
        <f t="shared" si="2"/>
        <v>0.31</v>
      </c>
      <c r="D13" s="9">
        <f t="shared" si="23"/>
        <v>129065.29</v>
      </c>
      <c r="E13" s="235">
        <f t="shared" si="3"/>
        <v>25060.18</v>
      </c>
      <c r="F13" s="10">
        <f t="shared" si="4"/>
        <v>0.31</v>
      </c>
      <c r="G13" s="9">
        <f t="shared" si="24"/>
        <v>193597.93</v>
      </c>
      <c r="H13" s="235">
        <f t="shared" si="5"/>
        <v>37590.26</v>
      </c>
      <c r="I13" s="10">
        <f t="shared" si="6"/>
        <v>0.31</v>
      </c>
      <c r="J13" s="9">
        <f t="shared" si="25"/>
        <v>258130.57</v>
      </c>
      <c r="K13" s="235">
        <f t="shared" si="7"/>
        <v>50120.34</v>
      </c>
      <c r="L13" s="10">
        <f t="shared" si="8"/>
        <v>0.31</v>
      </c>
      <c r="M13" s="9">
        <f t="shared" si="26"/>
        <v>322663.21000000002</v>
      </c>
      <c r="N13" s="235">
        <f t="shared" si="9"/>
        <v>62650.44</v>
      </c>
      <c r="O13" s="10">
        <f t="shared" si="10"/>
        <v>0.31</v>
      </c>
      <c r="P13" s="9">
        <f t="shared" si="27"/>
        <v>387195.86</v>
      </c>
      <c r="Q13" s="235">
        <f t="shared" si="11"/>
        <v>75180.540000000008</v>
      </c>
      <c r="R13" s="10">
        <f t="shared" si="12"/>
        <v>0.31</v>
      </c>
      <c r="S13" s="9">
        <f t="shared" si="28"/>
        <v>451728.5</v>
      </c>
      <c r="T13" s="235">
        <f t="shared" si="13"/>
        <v>87710.62</v>
      </c>
      <c r="U13" s="10">
        <f t="shared" si="14"/>
        <v>0.31</v>
      </c>
      <c r="V13" s="9">
        <f t="shared" si="29"/>
        <v>516261.14</v>
      </c>
      <c r="W13" s="235">
        <f t="shared" si="15"/>
        <v>100240.7</v>
      </c>
      <c r="X13" s="10">
        <f t="shared" si="16"/>
        <v>0.31</v>
      </c>
      <c r="Y13" s="9">
        <f t="shared" si="30"/>
        <v>580793.78</v>
      </c>
      <c r="Z13" s="235">
        <f t="shared" si="17"/>
        <v>112770.78</v>
      </c>
      <c r="AA13" s="10">
        <f t="shared" si="18"/>
        <v>0.31</v>
      </c>
      <c r="AB13" s="9">
        <f t="shared" si="31"/>
        <v>645326.43000000005</v>
      </c>
      <c r="AC13" s="235">
        <f t="shared" si="19"/>
        <v>125300.88</v>
      </c>
      <c r="AD13" s="10">
        <f t="shared" si="20"/>
        <v>0.31</v>
      </c>
      <c r="AE13" s="9">
        <f t="shared" si="32"/>
        <v>709859.07</v>
      </c>
      <c r="AF13" s="235">
        <f t="shared" si="21"/>
        <v>137830.97</v>
      </c>
      <c r="AG13" s="10">
        <f t="shared" si="22"/>
        <v>0.31</v>
      </c>
      <c r="AH13" s="9">
        <v>774391.71</v>
      </c>
      <c r="AI13" s="235">
        <f t="shared" si="33"/>
        <v>150361.04999999999</v>
      </c>
      <c r="AJ13" s="10">
        <v>0.31</v>
      </c>
      <c r="AK13" s="59"/>
      <c r="AL13" s="59"/>
      <c r="AM13" s="59"/>
      <c r="AN13" s="1"/>
      <c r="AO13" s="1"/>
    </row>
    <row r="14" spans="1:41" x14ac:dyDescent="0.2">
      <c r="A14" s="11">
        <f t="shared" si="0"/>
        <v>86043.53</v>
      </c>
      <c r="B14" s="236">
        <f t="shared" si="1"/>
        <v>19198.47</v>
      </c>
      <c r="C14" s="12">
        <f t="shared" si="2"/>
        <v>0.35</v>
      </c>
      <c r="D14" s="11">
        <f t="shared" si="23"/>
        <v>172087.05</v>
      </c>
      <c r="E14" s="236">
        <f t="shared" si="3"/>
        <v>38396.93</v>
      </c>
      <c r="F14" s="12">
        <f t="shared" si="4"/>
        <v>0.35</v>
      </c>
      <c r="G14" s="11">
        <f t="shared" si="24"/>
        <v>258130.58</v>
      </c>
      <c r="H14" s="236">
        <f t="shared" si="5"/>
        <v>57595.380000000005</v>
      </c>
      <c r="I14" s="12">
        <f t="shared" si="6"/>
        <v>0.35</v>
      </c>
      <c r="J14" s="11">
        <f t="shared" si="25"/>
        <v>344174.1</v>
      </c>
      <c r="K14" s="236">
        <f t="shared" si="7"/>
        <v>76793.83</v>
      </c>
      <c r="L14" s="12">
        <f t="shared" si="8"/>
        <v>0.35</v>
      </c>
      <c r="M14" s="11">
        <f t="shared" si="26"/>
        <v>430217.63</v>
      </c>
      <c r="N14" s="236">
        <f t="shared" si="9"/>
        <v>95992.31</v>
      </c>
      <c r="O14" s="12">
        <f t="shared" si="10"/>
        <v>0.35</v>
      </c>
      <c r="P14" s="11">
        <f t="shared" si="27"/>
        <v>516261.15</v>
      </c>
      <c r="Q14" s="236">
        <f t="shared" si="11"/>
        <v>115190.78</v>
      </c>
      <c r="R14" s="12">
        <f t="shared" si="12"/>
        <v>0.35</v>
      </c>
      <c r="S14" s="11">
        <f t="shared" si="28"/>
        <v>602304.68000000005</v>
      </c>
      <c r="T14" s="236">
        <f t="shared" si="13"/>
        <v>134389.24</v>
      </c>
      <c r="U14" s="12">
        <f t="shared" si="14"/>
        <v>0.35</v>
      </c>
      <c r="V14" s="11">
        <f t="shared" si="29"/>
        <v>688348.2</v>
      </c>
      <c r="W14" s="236">
        <f t="shared" si="15"/>
        <v>153587.69</v>
      </c>
      <c r="X14" s="12">
        <f t="shared" si="16"/>
        <v>0.35</v>
      </c>
      <c r="Y14" s="11">
        <f t="shared" si="30"/>
        <v>774391.73</v>
      </c>
      <c r="Z14" s="236">
        <f t="shared" si="17"/>
        <v>172786.14</v>
      </c>
      <c r="AA14" s="12">
        <f t="shared" si="18"/>
        <v>0.35</v>
      </c>
      <c r="AB14" s="11">
        <f t="shared" si="31"/>
        <v>860435.25</v>
      </c>
      <c r="AC14" s="236">
        <f t="shared" si="19"/>
        <v>191984.61</v>
      </c>
      <c r="AD14" s="12">
        <f t="shared" si="20"/>
        <v>0.35</v>
      </c>
      <c r="AE14" s="11">
        <f t="shared" si="32"/>
        <v>946478.78</v>
      </c>
      <c r="AF14" s="236">
        <f t="shared" si="21"/>
        <v>211183.08000000002</v>
      </c>
      <c r="AG14" s="12">
        <f t="shared" si="22"/>
        <v>0.35</v>
      </c>
      <c r="AH14" s="11">
        <v>1032522.3</v>
      </c>
      <c r="AI14" s="236">
        <f t="shared" si="33"/>
        <v>230381.52999999997</v>
      </c>
      <c r="AJ14" s="12">
        <v>0.35</v>
      </c>
      <c r="AK14" s="59"/>
      <c r="AL14" s="59"/>
      <c r="AM14" s="59"/>
      <c r="AN14" s="1"/>
      <c r="AO14" s="1"/>
    </row>
    <row r="15" spans="1:41" x14ac:dyDescent="0.2">
      <c r="A15" s="216"/>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8"/>
      <c r="Z15" s="59"/>
      <c r="AA15" s="59"/>
      <c r="AB15" s="59"/>
      <c r="AC15" s="59"/>
      <c r="AD15" s="59"/>
      <c r="AE15" s="22"/>
      <c r="AF15" s="22"/>
      <c r="AG15" s="22"/>
      <c r="AH15" s="219"/>
      <c r="AI15" s="22"/>
      <c r="AJ15" s="22"/>
      <c r="AK15" s="22"/>
      <c r="AL15" s="22"/>
      <c r="AM15" s="22"/>
    </row>
    <row r="16" spans="1:41" x14ac:dyDescent="0.2">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8"/>
      <c r="Z16" s="59"/>
      <c r="AA16" s="59"/>
      <c r="AB16" s="59"/>
      <c r="AC16" s="59"/>
      <c r="AD16" s="59"/>
      <c r="AE16" s="22"/>
      <c r="AF16" s="22"/>
      <c r="AG16" s="22"/>
      <c r="AH16" s="40"/>
      <c r="AI16" s="22"/>
      <c r="AJ16" s="22"/>
      <c r="AK16" s="22"/>
      <c r="AL16" s="22"/>
      <c r="AM16" s="22"/>
    </row>
    <row r="17" spans="1:39" ht="25.5" x14ac:dyDescent="0.2">
      <c r="A17" s="217"/>
      <c r="B17" s="220" t="s">
        <v>90</v>
      </c>
      <c r="C17" s="221" t="s">
        <v>89</v>
      </c>
      <c r="D17" s="221" t="s">
        <v>91</v>
      </c>
      <c r="E17" s="221" t="s">
        <v>362</v>
      </c>
      <c r="F17" s="221"/>
      <c r="G17" s="221"/>
      <c r="H17" s="221"/>
      <c r="I17" s="221"/>
      <c r="J17" s="221"/>
      <c r="K17" s="221"/>
      <c r="L17" s="221"/>
      <c r="M17" s="221"/>
      <c r="N17" s="221"/>
      <c r="O17" s="221"/>
      <c r="P17" s="221"/>
      <c r="Q17" s="222"/>
      <c r="R17" s="222"/>
      <c r="S17" s="222"/>
      <c r="T17" s="217"/>
      <c r="U17" s="217"/>
      <c r="V17" s="217"/>
      <c r="W17" s="217"/>
      <c r="X17" s="217"/>
      <c r="Y17" s="218"/>
      <c r="Z17" s="59"/>
      <c r="AA17" s="59"/>
      <c r="AB17" s="59"/>
      <c r="AC17" s="59"/>
      <c r="AD17" s="59"/>
      <c r="AE17" s="22"/>
      <c r="AF17" s="22"/>
      <c r="AG17" s="22"/>
      <c r="AH17" s="40"/>
      <c r="AI17" s="22"/>
      <c r="AJ17" s="22"/>
      <c r="AK17" s="22"/>
      <c r="AL17" s="22"/>
      <c r="AM17" s="22"/>
    </row>
    <row r="18" spans="1:39" x14ac:dyDescent="0.2">
      <c r="A18" s="217"/>
      <c r="B18" s="220"/>
      <c r="C18" s="221">
        <v>1.22</v>
      </c>
      <c r="D18" s="223"/>
      <c r="E18" s="221"/>
      <c r="F18" s="221"/>
      <c r="G18" s="221"/>
      <c r="H18" s="221"/>
      <c r="I18" s="221"/>
      <c r="J18" s="221"/>
      <c r="K18" s="221"/>
      <c r="L18" s="221"/>
      <c r="M18" s="221"/>
      <c r="N18" s="221"/>
      <c r="O18" s="221"/>
      <c r="P18" s="221"/>
      <c r="Q18" s="222"/>
      <c r="R18" s="222"/>
      <c r="S18" s="222"/>
      <c r="T18" s="217"/>
      <c r="U18" s="217"/>
      <c r="V18" s="217"/>
      <c r="W18" s="217"/>
      <c r="X18" s="217"/>
      <c r="Y18" s="218"/>
      <c r="Z18" s="59"/>
      <c r="AA18" s="59"/>
      <c r="AB18" s="59"/>
      <c r="AC18" s="59"/>
      <c r="AD18" s="59"/>
      <c r="AE18" s="22"/>
      <c r="AF18" s="22"/>
      <c r="AG18" s="22"/>
      <c r="AH18" s="40"/>
      <c r="AI18" s="22"/>
      <c r="AJ18" s="22"/>
      <c r="AK18" s="22"/>
      <c r="AL18" s="22"/>
      <c r="AM18" s="22"/>
    </row>
    <row r="19" spans="1:39" ht="13.5" thickBot="1" x14ac:dyDescent="0.25">
      <c r="A19" s="224">
        <v>1</v>
      </c>
      <c r="B19" s="225">
        <v>0</v>
      </c>
      <c r="C19" s="225">
        <v>1</v>
      </c>
      <c r="D19" s="225">
        <v>2</v>
      </c>
      <c r="E19" s="225">
        <v>3</v>
      </c>
      <c r="F19" s="225">
        <v>4</v>
      </c>
      <c r="G19" s="225">
        <v>5</v>
      </c>
      <c r="H19" s="225">
        <v>6</v>
      </c>
      <c r="I19" s="225">
        <v>7</v>
      </c>
      <c r="J19" s="225">
        <v>8</v>
      </c>
      <c r="K19" s="225">
        <v>9</v>
      </c>
      <c r="L19" s="225">
        <v>10</v>
      </c>
      <c r="M19" s="225">
        <v>11</v>
      </c>
      <c r="N19" s="225">
        <v>12</v>
      </c>
      <c r="O19" s="225">
        <v>13</v>
      </c>
      <c r="P19" s="225">
        <v>14</v>
      </c>
      <c r="Q19" s="217"/>
      <c r="R19" s="217"/>
      <c r="S19" s="217"/>
      <c r="T19" s="217"/>
      <c r="U19" s="217"/>
      <c r="V19" s="217"/>
      <c r="W19" s="217"/>
      <c r="X19" s="217"/>
      <c r="Y19" s="218"/>
      <c r="Z19" s="59"/>
      <c r="AA19" s="59"/>
      <c r="AB19" s="59"/>
      <c r="AC19" s="59"/>
      <c r="AD19" s="59"/>
      <c r="AE19" s="22"/>
      <c r="AF19" s="22"/>
      <c r="AG19" s="22"/>
      <c r="AH19" s="40"/>
      <c r="AI19" s="22"/>
      <c r="AJ19" s="22"/>
      <c r="AK19" s="22"/>
      <c r="AL19" s="22"/>
      <c r="AM19" s="22"/>
    </row>
    <row r="20" spans="1:39" ht="13.5" thickBot="1" x14ac:dyDescent="0.25">
      <c r="A20" s="217"/>
      <c r="B20" s="343" t="s">
        <v>83</v>
      </c>
      <c r="C20" s="344"/>
      <c r="D20" s="344"/>
      <c r="E20" s="344"/>
      <c r="F20" s="344"/>
      <c r="G20" s="344"/>
      <c r="H20" s="344"/>
      <c r="I20" s="344"/>
      <c r="J20" s="344"/>
      <c r="K20" s="344"/>
      <c r="L20" s="344"/>
      <c r="M20" s="344"/>
      <c r="N20" s="344"/>
      <c r="O20" s="344"/>
      <c r="P20" s="345"/>
      <c r="Q20" s="217"/>
      <c r="R20" s="217"/>
      <c r="S20" s="217"/>
      <c r="T20" s="217"/>
      <c r="U20" s="217"/>
      <c r="V20" s="217"/>
      <c r="W20" s="217"/>
      <c r="X20" s="14"/>
      <c r="Y20" s="14" t="s">
        <v>30</v>
      </c>
      <c r="Z20" s="14" t="s">
        <v>32</v>
      </c>
      <c r="AA20" s="14" t="s">
        <v>34</v>
      </c>
      <c r="AB20" s="59" t="s">
        <v>224</v>
      </c>
      <c r="AC20" s="59"/>
      <c r="AD20" s="59"/>
      <c r="AE20" s="226" t="s">
        <v>254</v>
      </c>
      <c r="AF20" s="226"/>
      <c r="AG20" s="238">
        <v>150000</v>
      </c>
      <c r="AH20" s="226" t="s">
        <v>278</v>
      </c>
      <c r="AI20" s="22"/>
      <c r="AJ20" s="22"/>
      <c r="AK20" s="22"/>
      <c r="AL20" s="22"/>
      <c r="AM20" s="22"/>
    </row>
    <row r="21" spans="1:39" x14ac:dyDescent="0.2">
      <c r="A21" s="14" t="s">
        <v>29</v>
      </c>
      <c r="B21" s="227">
        <v>1</v>
      </c>
      <c r="C21" s="227">
        <v>2</v>
      </c>
      <c r="D21" s="227">
        <v>3</v>
      </c>
      <c r="E21" s="227">
        <v>4</v>
      </c>
      <c r="F21" s="227">
        <v>5</v>
      </c>
      <c r="G21" s="227">
        <v>6</v>
      </c>
      <c r="H21" s="227">
        <v>7</v>
      </c>
      <c r="I21" s="227">
        <v>8</v>
      </c>
      <c r="J21" s="227">
        <v>9</v>
      </c>
      <c r="K21" s="227">
        <v>10</v>
      </c>
      <c r="L21" s="227">
        <v>11</v>
      </c>
      <c r="M21" s="227">
        <v>12</v>
      </c>
      <c r="N21" s="227">
        <v>13</v>
      </c>
      <c r="O21" s="227">
        <v>14</v>
      </c>
      <c r="P21" s="227">
        <v>15</v>
      </c>
      <c r="Q21" s="217"/>
      <c r="R21" s="217"/>
      <c r="S21" s="217"/>
      <c r="T21" s="217"/>
      <c r="U21" s="217"/>
      <c r="V21" s="217"/>
      <c r="W21" s="217"/>
      <c r="X21" s="14" t="s">
        <v>29</v>
      </c>
      <c r="Y21" s="14" t="s">
        <v>31</v>
      </c>
      <c r="Z21" s="14" t="s">
        <v>33</v>
      </c>
      <c r="AA21" s="14" t="s">
        <v>35</v>
      </c>
      <c r="AB21" s="228"/>
      <c r="AC21" s="59"/>
      <c r="AD21" s="59"/>
      <c r="AE21" s="226" t="s">
        <v>255</v>
      </c>
      <c r="AF21" s="226"/>
      <c r="AG21" s="238">
        <v>173000</v>
      </c>
      <c r="AH21" s="226" t="s">
        <v>278</v>
      </c>
      <c r="AI21" s="22"/>
      <c r="AJ21" s="22"/>
      <c r="AK21" s="22"/>
      <c r="AL21" s="22"/>
      <c r="AM21" s="22"/>
    </row>
    <row r="22" spans="1:39" x14ac:dyDescent="0.2">
      <c r="A22" s="14">
        <v>0</v>
      </c>
      <c r="B22" s="13">
        <v>0</v>
      </c>
      <c r="C22" s="20">
        <v>0</v>
      </c>
      <c r="D22" s="20">
        <v>0</v>
      </c>
      <c r="E22" s="20">
        <v>0</v>
      </c>
      <c r="F22" s="217"/>
      <c r="G22" s="217"/>
      <c r="H22" s="217"/>
      <c r="I22" s="15"/>
      <c r="J22" s="217"/>
      <c r="K22" s="217"/>
      <c r="L22" s="217"/>
      <c r="M22" s="217"/>
      <c r="N22" s="217"/>
      <c r="O22" s="217"/>
      <c r="P22" s="217"/>
      <c r="Q22" s="217"/>
      <c r="R22" s="217"/>
      <c r="S22" s="217"/>
      <c r="T22" s="217"/>
      <c r="U22" s="217"/>
      <c r="V22" s="217"/>
      <c r="W22" s="217"/>
      <c r="X22" s="14">
        <v>0</v>
      </c>
      <c r="Y22" s="13"/>
      <c r="Z22" s="13">
        <v>0</v>
      </c>
      <c r="AA22" s="13">
        <v>0</v>
      </c>
      <c r="AB22" s="237"/>
      <c r="AC22" s="59"/>
      <c r="AD22" s="59"/>
      <c r="AE22" s="226" t="s">
        <v>256</v>
      </c>
      <c r="AF22" s="226"/>
      <c r="AG22" s="238">
        <v>150000</v>
      </c>
      <c r="AH22" s="226" t="s">
        <v>278</v>
      </c>
      <c r="AI22" s="22"/>
      <c r="AJ22" s="22"/>
      <c r="AK22" s="22"/>
      <c r="AL22" s="22"/>
      <c r="AM22" s="22"/>
    </row>
    <row r="23" spans="1:39" x14ac:dyDescent="0.2">
      <c r="A23" s="14">
        <v>1</v>
      </c>
      <c r="B23" s="13">
        <f t="shared" ref="B23:B32" si="34">+ROUND($B$35/12*A23,2)</f>
        <v>13973.2</v>
      </c>
      <c r="C23" s="13">
        <f t="shared" ref="C23:C32" si="35">+ROUND(B23*1.22,2)</f>
        <v>17047.3</v>
      </c>
      <c r="D23" s="13"/>
      <c r="E23" s="20"/>
      <c r="F23" s="217"/>
      <c r="G23" s="217"/>
      <c r="H23" s="217"/>
      <c r="I23" s="15"/>
      <c r="J23" s="217"/>
      <c r="K23" s="217"/>
      <c r="L23" s="217"/>
      <c r="M23" s="22"/>
      <c r="N23" s="22"/>
      <c r="O23" s="22"/>
      <c r="P23" s="217"/>
      <c r="Q23" s="217"/>
      <c r="R23" s="217"/>
      <c r="S23" s="217"/>
      <c r="T23" s="217"/>
      <c r="U23" s="217"/>
      <c r="V23" s="217"/>
      <c r="W23" s="217"/>
      <c r="X23" s="14">
        <v>1</v>
      </c>
      <c r="Y23" s="13"/>
      <c r="Z23" s="13">
        <v>83.01</v>
      </c>
      <c r="AA23" s="13">
        <v>1666.67</v>
      </c>
      <c r="AB23" s="237"/>
      <c r="AC23" s="59"/>
      <c r="AD23" s="59"/>
      <c r="AE23" s="226" t="s">
        <v>257</v>
      </c>
      <c r="AF23" s="226"/>
      <c r="AG23" s="238">
        <v>300000</v>
      </c>
      <c r="AH23" s="226" t="s">
        <v>279</v>
      </c>
      <c r="AI23" s="22"/>
      <c r="AJ23" s="22"/>
      <c r="AK23" s="22"/>
      <c r="AL23" s="22"/>
      <c r="AM23" s="22"/>
    </row>
    <row r="24" spans="1:39" x14ac:dyDescent="0.2">
      <c r="A24" s="14">
        <v>2</v>
      </c>
      <c r="B24" s="13">
        <f t="shared" si="34"/>
        <v>27946.400000000001</v>
      </c>
      <c r="C24" s="13">
        <f t="shared" si="35"/>
        <v>34094.61</v>
      </c>
      <c r="D24" s="13"/>
      <c r="E24" s="13"/>
      <c r="F24" s="15"/>
      <c r="G24" s="15"/>
      <c r="H24" s="15"/>
      <c r="I24" s="15"/>
      <c r="J24" s="15"/>
      <c r="K24" s="15"/>
      <c r="L24" s="15"/>
      <c r="M24" s="15"/>
      <c r="N24" s="15"/>
      <c r="O24" s="15"/>
      <c r="P24" s="15"/>
      <c r="Q24" s="217"/>
      <c r="R24" s="217"/>
      <c r="S24" s="217"/>
      <c r="T24" s="217"/>
      <c r="U24" s="217"/>
      <c r="V24" s="217"/>
      <c r="W24" s="217"/>
      <c r="X24" s="14">
        <v>2</v>
      </c>
      <c r="Y24" s="13"/>
      <c r="Z24" s="13">
        <v>166.02</v>
      </c>
      <c r="AA24" s="13">
        <v>3333.33</v>
      </c>
      <c r="AB24" s="237"/>
      <c r="AC24" s="59"/>
      <c r="AD24" s="59"/>
      <c r="AE24" s="22"/>
      <c r="AF24" s="22"/>
      <c r="AG24" s="22"/>
      <c r="AH24" s="40"/>
      <c r="AI24" s="22"/>
      <c r="AJ24" s="22"/>
      <c r="AK24" s="22"/>
      <c r="AL24" s="22"/>
      <c r="AM24" s="22"/>
    </row>
    <row r="25" spans="1:39" x14ac:dyDescent="0.2">
      <c r="A25" s="14">
        <v>3</v>
      </c>
      <c r="B25" s="13">
        <f t="shared" si="34"/>
        <v>41919.599999999999</v>
      </c>
      <c r="C25" s="13">
        <f t="shared" si="35"/>
        <v>51141.91</v>
      </c>
      <c r="D25" s="13"/>
      <c r="E25" s="13"/>
      <c r="F25" s="15"/>
      <c r="G25" s="15"/>
      <c r="H25" s="15"/>
      <c r="I25" s="15"/>
      <c r="J25" s="15"/>
      <c r="K25" s="15"/>
      <c r="L25" s="15"/>
      <c r="M25" s="15"/>
      <c r="N25" s="15"/>
      <c r="O25" s="15"/>
      <c r="P25" s="15"/>
      <c r="Q25" s="217"/>
      <c r="R25" s="217"/>
      <c r="S25" s="217"/>
      <c r="T25" s="217"/>
      <c r="U25" s="217"/>
      <c r="V25" s="217"/>
      <c r="W25" s="217"/>
      <c r="X25" s="14">
        <v>3</v>
      </c>
      <c r="Y25" s="13"/>
      <c r="Z25" s="13">
        <v>249.03000000000003</v>
      </c>
      <c r="AA25" s="13">
        <v>5000</v>
      </c>
      <c r="AB25" s="237"/>
      <c r="AC25" s="59"/>
      <c r="AD25" s="59"/>
      <c r="AE25" s="22"/>
      <c r="AF25" s="22"/>
      <c r="AG25" s="22"/>
      <c r="AH25" s="40"/>
      <c r="AI25" s="22"/>
      <c r="AJ25" s="22"/>
      <c r="AK25" s="22"/>
      <c r="AL25" s="22"/>
      <c r="AM25" s="22"/>
    </row>
    <row r="26" spans="1:39" x14ac:dyDescent="0.2">
      <c r="A26" s="14">
        <v>4</v>
      </c>
      <c r="B26" s="13">
        <f t="shared" si="34"/>
        <v>55892.800000000003</v>
      </c>
      <c r="C26" s="13">
        <f t="shared" si="35"/>
        <v>68189.22</v>
      </c>
      <c r="D26" s="13"/>
      <c r="E26" s="13"/>
      <c r="F26" s="15"/>
      <c r="G26" s="15"/>
      <c r="H26" s="15"/>
      <c r="I26" s="15"/>
      <c r="J26" s="15"/>
      <c r="K26" s="15"/>
      <c r="L26" s="15"/>
      <c r="M26" s="15"/>
      <c r="N26" s="15"/>
      <c r="O26" s="15"/>
      <c r="P26" s="15"/>
      <c r="Q26" s="217"/>
      <c r="R26" s="217"/>
      <c r="S26" s="217"/>
      <c r="T26" s="217"/>
      <c r="U26" s="217"/>
      <c r="V26" s="217"/>
      <c r="W26" s="217"/>
      <c r="X26" s="14">
        <v>4</v>
      </c>
      <c r="Y26" s="13"/>
      <c r="Z26" s="13">
        <v>332.04</v>
      </c>
      <c r="AA26" s="13">
        <v>6666.67</v>
      </c>
      <c r="AB26" s="237"/>
      <c r="AC26" s="59"/>
      <c r="AD26" s="59"/>
      <c r="AE26" s="349" t="s">
        <v>251</v>
      </c>
      <c r="AF26" s="350"/>
      <c r="AG26" s="22"/>
      <c r="AH26" s="40"/>
      <c r="AI26" s="22"/>
      <c r="AJ26" s="22"/>
      <c r="AK26" s="22"/>
      <c r="AL26" s="22"/>
      <c r="AM26" s="22"/>
    </row>
    <row r="27" spans="1:39" x14ac:dyDescent="0.2">
      <c r="A27" s="14">
        <v>5</v>
      </c>
      <c r="B27" s="13">
        <f t="shared" si="34"/>
        <v>69866</v>
      </c>
      <c r="C27" s="13">
        <f t="shared" si="35"/>
        <v>85236.52</v>
      </c>
      <c r="D27" s="13"/>
      <c r="E27" s="13"/>
      <c r="F27" s="15"/>
      <c r="G27" s="15"/>
      <c r="H27" s="15"/>
      <c r="I27" s="15"/>
      <c r="J27" s="15"/>
      <c r="K27" s="15"/>
      <c r="L27" s="15"/>
      <c r="M27" s="15"/>
      <c r="N27" s="15"/>
      <c r="O27" s="15"/>
      <c r="P27" s="15"/>
      <c r="Q27" s="217"/>
      <c r="R27" s="217"/>
      <c r="S27" s="217"/>
      <c r="T27" s="217"/>
      <c r="U27" s="217"/>
      <c r="V27" s="217"/>
      <c r="W27" s="217"/>
      <c r="X27" s="14">
        <v>5</v>
      </c>
      <c r="Y27" s="13"/>
      <c r="Z27" s="13">
        <v>415.05</v>
      </c>
      <c r="AA27" s="13">
        <v>8333.33</v>
      </c>
      <c r="AB27" s="237"/>
      <c r="AC27" s="59"/>
      <c r="AD27" s="59"/>
      <c r="AE27" s="229" t="s">
        <v>252</v>
      </c>
      <c r="AF27" s="229" t="s">
        <v>15</v>
      </c>
      <c r="AG27" s="22"/>
      <c r="AH27" s="40"/>
      <c r="AI27" s="22"/>
      <c r="AJ27" s="22"/>
      <c r="AK27" s="22"/>
      <c r="AL27" s="22"/>
      <c r="AM27" s="22"/>
    </row>
    <row r="28" spans="1:39" x14ac:dyDescent="0.2">
      <c r="A28" s="14">
        <v>6</v>
      </c>
      <c r="B28" s="13">
        <f t="shared" si="34"/>
        <v>83839.199999999997</v>
      </c>
      <c r="C28" s="13">
        <f t="shared" si="35"/>
        <v>102283.82</v>
      </c>
      <c r="D28" s="13"/>
      <c r="E28" s="13"/>
      <c r="F28" s="15"/>
      <c r="G28" s="15"/>
      <c r="H28" s="15"/>
      <c r="I28" s="15"/>
      <c r="J28" s="15"/>
      <c r="K28" s="15"/>
      <c r="L28" s="15"/>
      <c r="M28" s="15"/>
      <c r="N28" s="15"/>
      <c r="O28" s="15"/>
      <c r="P28" s="15"/>
      <c r="Q28" s="217"/>
      <c r="R28" s="217"/>
      <c r="S28" s="217"/>
      <c r="T28" s="217"/>
      <c r="U28" s="217"/>
      <c r="V28" s="217"/>
      <c r="W28" s="217"/>
      <c r="X28" s="14">
        <v>6</v>
      </c>
      <c r="Y28" s="13"/>
      <c r="Z28" s="13">
        <v>498.06</v>
      </c>
      <c r="AA28" s="13">
        <v>10000</v>
      </c>
      <c r="AB28" s="237"/>
      <c r="AC28" s="59"/>
      <c r="AD28" s="59"/>
      <c r="AE28" s="239">
        <v>150000.01</v>
      </c>
      <c r="AF28" s="239">
        <v>42979</v>
      </c>
      <c r="AG28" s="22"/>
      <c r="AH28" s="40"/>
      <c r="AI28" s="22"/>
      <c r="AJ28" s="22"/>
      <c r="AK28" s="22"/>
      <c r="AL28" s="22"/>
      <c r="AM28" s="22"/>
    </row>
    <row r="29" spans="1:39" x14ac:dyDescent="0.2">
      <c r="A29" s="14">
        <v>7</v>
      </c>
      <c r="B29" s="13">
        <f t="shared" si="34"/>
        <v>97812.4</v>
      </c>
      <c r="C29" s="13">
        <f t="shared" si="35"/>
        <v>119331.13</v>
      </c>
      <c r="D29" s="13"/>
      <c r="E29" s="13"/>
      <c r="F29" s="15"/>
      <c r="G29" s="15"/>
      <c r="H29" s="15"/>
      <c r="I29" s="15"/>
      <c r="J29" s="15"/>
      <c r="K29" s="15"/>
      <c r="L29" s="15"/>
      <c r="M29" s="15"/>
      <c r="N29" s="15"/>
      <c r="O29" s="15"/>
      <c r="P29" s="15"/>
      <c r="Q29" s="217"/>
      <c r="R29" s="217"/>
      <c r="S29" s="217"/>
      <c r="T29" s="217"/>
      <c r="U29" s="217"/>
      <c r="V29" s="217"/>
      <c r="W29" s="217"/>
      <c r="X29" s="14">
        <v>7</v>
      </c>
      <c r="Y29" s="13"/>
      <c r="Z29" s="13">
        <v>581.07000000000005</v>
      </c>
      <c r="AA29" s="13">
        <v>11666.67</v>
      </c>
      <c r="AB29" s="237"/>
      <c r="AC29" s="59"/>
      <c r="AD29" s="59"/>
      <c r="AE29" s="239">
        <f>+AE28+100</f>
        <v>150100.01</v>
      </c>
      <c r="AF29" s="239">
        <v>42609</v>
      </c>
      <c r="AG29" s="22"/>
      <c r="AH29" s="40"/>
      <c r="AI29" s="22"/>
      <c r="AJ29" s="22"/>
      <c r="AK29" s="22"/>
      <c r="AL29" s="22"/>
      <c r="AM29" s="22"/>
    </row>
    <row r="30" spans="1:39" x14ac:dyDescent="0.2">
      <c r="A30" s="14">
        <v>8</v>
      </c>
      <c r="B30" s="13">
        <f t="shared" si="34"/>
        <v>111785.60000000001</v>
      </c>
      <c r="C30" s="13">
        <f t="shared" si="35"/>
        <v>136378.43</v>
      </c>
      <c r="D30" s="13"/>
      <c r="E30" s="13"/>
      <c r="F30" s="15"/>
      <c r="G30" s="15"/>
      <c r="H30" s="15"/>
      <c r="I30" s="15"/>
      <c r="J30" s="15"/>
      <c r="K30" s="15"/>
      <c r="L30" s="15"/>
      <c r="M30" s="15"/>
      <c r="N30" s="15"/>
      <c r="O30" s="15"/>
      <c r="P30" s="15"/>
      <c r="Q30" s="217"/>
      <c r="R30" s="217"/>
      <c r="S30" s="217"/>
      <c r="T30" s="217"/>
      <c r="U30" s="217"/>
      <c r="V30" s="217"/>
      <c r="W30" s="217"/>
      <c r="X30" s="14">
        <v>8</v>
      </c>
      <c r="Y30" s="13"/>
      <c r="Z30" s="13">
        <v>664.08</v>
      </c>
      <c r="AA30" s="13">
        <v>13333.33</v>
      </c>
      <c r="AB30" s="237"/>
      <c r="AC30" s="59"/>
      <c r="AD30" s="59"/>
      <c r="AE30" s="239">
        <f t="shared" ref="AE30:AE93" si="36">+AE29+100</f>
        <v>150200.01</v>
      </c>
      <c r="AF30" s="239">
        <v>42270</v>
      </c>
      <c r="AG30" s="22"/>
      <c r="AH30" s="40"/>
      <c r="AI30" s="22"/>
      <c r="AJ30" s="22"/>
      <c r="AK30" s="22"/>
      <c r="AL30" s="22"/>
      <c r="AM30" s="22"/>
    </row>
    <row r="31" spans="1:39" x14ac:dyDescent="0.2">
      <c r="A31" s="14">
        <v>9</v>
      </c>
      <c r="B31" s="13">
        <f t="shared" si="34"/>
        <v>125758.8</v>
      </c>
      <c r="C31" s="13">
        <f t="shared" si="35"/>
        <v>153425.74</v>
      </c>
      <c r="D31" s="13"/>
      <c r="E31" s="13"/>
      <c r="F31" s="15"/>
      <c r="G31" s="15"/>
      <c r="H31" s="15"/>
      <c r="I31" s="15"/>
      <c r="J31" s="15"/>
      <c r="K31" s="15"/>
      <c r="L31" s="15"/>
      <c r="M31" s="15"/>
      <c r="N31" s="15"/>
      <c r="O31" s="15"/>
      <c r="P31" s="15"/>
      <c r="Q31" s="217"/>
      <c r="R31" s="217"/>
      <c r="S31" s="217"/>
      <c r="T31" s="217"/>
      <c r="U31" s="217"/>
      <c r="V31" s="217"/>
      <c r="W31" s="217"/>
      <c r="X31" s="14">
        <v>9</v>
      </c>
      <c r="Y31" s="13"/>
      <c r="Z31" s="13">
        <v>747.09</v>
      </c>
      <c r="AA31" s="13">
        <v>15000</v>
      </c>
      <c r="AB31" s="237"/>
      <c r="AC31" s="59"/>
      <c r="AD31" s="59"/>
      <c r="AE31" s="239">
        <f t="shared" si="36"/>
        <v>150300.01</v>
      </c>
      <c r="AF31" s="239">
        <v>41950</v>
      </c>
      <c r="AG31" s="22"/>
      <c r="AH31" s="40"/>
      <c r="AI31" s="22"/>
      <c r="AJ31" s="22"/>
      <c r="AK31" s="22"/>
      <c r="AL31" s="22"/>
      <c r="AM31" s="22"/>
    </row>
    <row r="32" spans="1:39" x14ac:dyDescent="0.2">
      <c r="A32" s="14">
        <v>10</v>
      </c>
      <c r="B32" s="13">
        <f t="shared" si="34"/>
        <v>139732</v>
      </c>
      <c r="C32" s="13">
        <f t="shared" si="35"/>
        <v>170473.04</v>
      </c>
      <c r="D32" s="13"/>
      <c r="E32" s="13"/>
      <c r="F32" s="15"/>
      <c r="G32" s="15"/>
      <c r="H32" s="15"/>
      <c r="I32" s="15"/>
      <c r="J32" s="15"/>
      <c r="K32" s="15"/>
      <c r="L32" s="15"/>
      <c r="M32" s="15"/>
      <c r="N32" s="15"/>
      <c r="O32" s="15"/>
      <c r="P32" s="15"/>
      <c r="Q32" s="217"/>
      <c r="R32" s="217"/>
      <c r="S32" s="217"/>
      <c r="T32" s="217"/>
      <c r="U32" s="217"/>
      <c r="V32" s="217"/>
      <c r="W32" s="217"/>
      <c r="X32" s="14">
        <v>10</v>
      </c>
      <c r="Y32" s="13"/>
      <c r="Z32" s="13">
        <v>830.1</v>
      </c>
      <c r="AA32" s="13">
        <v>16666.669999999998</v>
      </c>
      <c r="AB32" s="237"/>
      <c r="AC32" s="59"/>
      <c r="AD32" s="59"/>
      <c r="AE32" s="239">
        <f t="shared" si="36"/>
        <v>150400.01</v>
      </c>
      <c r="AF32" s="239">
        <v>41644</v>
      </c>
      <c r="AG32" s="22"/>
      <c r="AH32" s="40"/>
      <c r="AI32" s="22"/>
      <c r="AJ32" s="22"/>
      <c r="AK32" s="22"/>
      <c r="AL32" s="22"/>
      <c r="AM32" s="22"/>
    </row>
    <row r="33" spans="1:39" x14ac:dyDescent="0.2">
      <c r="A33" s="14">
        <v>11</v>
      </c>
      <c r="B33" s="13">
        <f t="shared" ref="B33" si="37">+ROUND($B$35/12*A33,2)</f>
        <v>153705.20000000001</v>
      </c>
      <c r="C33" s="13">
        <f t="shared" ref="C33" si="38">+ROUND(B33*1.22,2)</f>
        <v>187520.34</v>
      </c>
      <c r="D33" s="13"/>
      <c r="E33" s="13"/>
      <c r="F33" s="15"/>
      <c r="G33" s="15"/>
      <c r="H33" s="15"/>
      <c r="I33" s="15"/>
      <c r="J33" s="15"/>
      <c r="K33" s="15"/>
      <c r="L33" s="15"/>
      <c r="M33" s="15"/>
      <c r="N33" s="15"/>
      <c r="O33" s="15"/>
      <c r="P33" s="15"/>
      <c r="Q33" s="217"/>
      <c r="R33" s="217"/>
      <c r="S33" s="217"/>
      <c r="T33" s="217"/>
      <c r="U33" s="217"/>
      <c r="V33" s="217"/>
      <c r="W33" s="217"/>
      <c r="X33" s="14">
        <v>11</v>
      </c>
      <c r="Y33" s="13"/>
      <c r="Z33" s="13">
        <v>913.11</v>
      </c>
      <c r="AA33" s="13">
        <v>18333.330000000002</v>
      </c>
      <c r="AB33" s="237"/>
      <c r="AC33" s="59"/>
      <c r="AD33" s="59"/>
      <c r="AE33" s="239">
        <f t="shared" si="36"/>
        <v>150500.01</v>
      </c>
      <c r="AF33" s="239">
        <v>41348</v>
      </c>
      <c r="AG33" s="22"/>
      <c r="AH33" s="40"/>
      <c r="AI33" s="22"/>
      <c r="AJ33" s="22"/>
      <c r="AK33" s="22"/>
      <c r="AL33" s="22"/>
      <c r="AM33" s="22"/>
    </row>
    <row r="34" spans="1:39" x14ac:dyDescent="0.2">
      <c r="A34" s="14">
        <v>12</v>
      </c>
      <c r="B34" s="13">
        <f>+B35</f>
        <v>167678.39999999999</v>
      </c>
      <c r="C34" s="13">
        <f>+C35</f>
        <v>204567.66</v>
      </c>
      <c r="D34" s="13"/>
      <c r="E34" s="13"/>
      <c r="F34" s="15"/>
      <c r="G34" s="15"/>
      <c r="H34" s="15"/>
      <c r="I34" s="15"/>
      <c r="J34" s="15"/>
      <c r="K34" s="15"/>
      <c r="L34" s="15"/>
      <c r="M34" s="15"/>
      <c r="N34" s="15"/>
      <c r="O34" s="15"/>
      <c r="P34" s="15"/>
      <c r="Q34" s="217"/>
      <c r="R34" s="217"/>
      <c r="S34" s="217"/>
      <c r="T34" s="217"/>
      <c r="U34" s="217"/>
      <c r="V34" s="217"/>
      <c r="W34" s="217"/>
      <c r="X34" s="14">
        <v>12</v>
      </c>
      <c r="Y34" s="13">
        <v>24000</v>
      </c>
      <c r="Z34" s="13">
        <v>996.12</v>
      </c>
      <c r="AA34" s="13">
        <v>20000</v>
      </c>
      <c r="AB34" s="13">
        <f>+AB35</f>
        <v>24000</v>
      </c>
      <c r="AC34" s="59"/>
      <c r="AD34" s="59"/>
      <c r="AE34" s="239">
        <f t="shared" si="36"/>
        <v>150600.01</v>
      </c>
      <c r="AF34" s="239">
        <v>41061</v>
      </c>
      <c r="AG34" s="22"/>
      <c r="AH34" s="40"/>
      <c r="AI34" s="22"/>
      <c r="AJ34" s="22"/>
      <c r="AK34" s="22"/>
      <c r="AL34" s="22"/>
      <c r="AM34" s="22"/>
    </row>
    <row r="35" spans="1:39" ht="13.5" thickBot="1" x14ac:dyDescent="0.25">
      <c r="A35" s="14">
        <v>13</v>
      </c>
      <c r="B35" s="13">
        <v>167678.39999999999</v>
      </c>
      <c r="C35" s="13">
        <v>204567.66</v>
      </c>
      <c r="D35" s="13"/>
      <c r="E35" s="13"/>
      <c r="F35" s="15"/>
      <c r="G35" s="15"/>
      <c r="H35" s="15"/>
      <c r="I35" s="15"/>
      <c r="J35" s="15"/>
      <c r="K35" s="15"/>
      <c r="L35" s="15"/>
      <c r="M35" s="15"/>
      <c r="N35" s="15"/>
      <c r="O35" s="15"/>
      <c r="P35" s="15"/>
      <c r="Q35" s="217"/>
      <c r="R35" s="217"/>
      <c r="S35" s="217"/>
      <c r="T35" s="217"/>
      <c r="U35" s="217"/>
      <c r="V35" s="217"/>
      <c r="W35" s="217"/>
      <c r="X35" s="14">
        <v>13</v>
      </c>
      <c r="Y35" s="13">
        <v>24000</v>
      </c>
      <c r="Z35" s="13">
        <v>996.12</v>
      </c>
      <c r="AA35" s="13">
        <v>20000</v>
      </c>
      <c r="AB35" s="13">
        <v>24000</v>
      </c>
      <c r="AC35" s="59"/>
      <c r="AD35" s="59"/>
      <c r="AE35" s="239">
        <f t="shared" si="36"/>
        <v>150700.01</v>
      </c>
      <c r="AF35" s="239">
        <v>40780</v>
      </c>
      <c r="AG35" s="22"/>
      <c r="AH35" s="40"/>
      <c r="AI35" s="22"/>
      <c r="AJ35" s="22"/>
      <c r="AK35" s="22"/>
      <c r="AL35" s="22"/>
      <c r="AM35" s="22"/>
    </row>
    <row r="36" spans="1:39" ht="13.5" thickBot="1" x14ac:dyDescent="0.25">
      <c r="A36" s="217"/>
      <c r="B36" s="343" t="s">
        <v>84</v>
      </c>
      <c r="C36" s="344"/>
      <c r="D36" s="344"/>
      <c r="E36" s="344"/>
      <c r="F36" s="344"/>
      <c r="G36" s="344"/>
      <c r="H36" s="344"/>
      <c r="I36" s="344"/>
      <c r="J36" s="344"/>
      <c r="K36" s="344"/>
      <c r="L36" s="344"/>
      <c r="M36" s="344"/>
      <c r="N36" s="344"/>
      <c r="O36" s="344"/>
      <c r="P36" s="345"/>
      <c r="Q36" s="217"/>
      <c r="R36" s="217"/>
      <c r="S36" s="217"/>
      <c r="T36" s="217"/>
      <c r="U36" s="217"/>
      <c r="V36" s="217"/>
      <c r="W36" s="217"/>
      <c r="X36" s="217"/>
      <c r="Y36" s="217"/>
      <c r="Z36" s="217"/>
      <c r="AA36" s="217"/>
      <c r="AB36" s="59"/>
      <c r="AC36" s="59"/>
      <c r="AD36" s="59"/>
      <c r="AE36" s="239">
        <f t="shared" si="36"/>
        <v>150800.01</v>
      </c>
      <c r="AF36" s="239">
        <v>40505</v>
      </c>
      <c r="AG36" s="22"/>
      <c r="AH36" s="40"/>
      <c r="AI36" s="22"/>
      <c r="AJ36" s="22"/>
      <c r="AK36" s="22"/>
      <c r="AL36" s="22"/>
      <c r="AM36" s="22"/>
    </row>
    <row r="37" spans="1:39" x14ac:dyDescent="0.2">
      <c r="A37" s="14" t="s">
        <v>29</v>
      </c>
      <c r="B37" s="227">
        <v>1</v>
      </c>
      <c r="C37" s="227">
        <v>2</v>
      </c>
      <c r="D37" s="227">
        <v>3</v>
      </c>
      <c r="E37" s="227">
        <v>4</v>
      </c>
      <c r="F37" s="227">
        <v>5</v>
      </c>
      <c r="G37" s="227">
        <v>6</v>
      </c>
      <c r="H37" s="227">
        <v>7</v>
      </c>
      <c r="I37" s="227">
        <v>8</v>
      </c>
      <c r="J37" s="227">
        <v>9</v>
      </c>
      <c r="K37" s="227">
        <v>10</v>
      </c>
      <c r="L37" s="227">
        <v>11</v>
      </c>
      <c r="M37" s="227">
        <v>12</v>
      </c>
      <c r="N37" s="227">
        <v>13</v>
      </c>
      <c r="O37" s="227">
        <v>14</v>
      </c>
      <c r="P37" s="227">
        <v>15</v>
      </c>
      <c r="Q37" s="217"/>
      <c r="R37" s="217"/>
      <c r="S37" s="217"/>
      <c r="T37" s="217"/>
      <c r="U37" s="217"/>
      <c r="V37" s="217"/>
      <c r="W37" s="217"/>
      <c r="X37" s="217"/>
      <c r="Y37" s="217"/>
      <c r="Z37" s="217"/>
      <c r="AA37" s="217"/>
      <c r="AB37" s="59"/>
      <c r="AC37" s="59"/>
      <c r="AD37" s="59"/>
      <c r="AE37" s="239">
        <f t="shared" si="36"/>
        <v>150900.01</v>
      </c>
      <c r="AF37" s="239">
        <v>40236</v>
      </c>
      <c r="AG37" s="22"/>
      <c r="AH37" s="40"/>
      <c r="AI37" s="22"/>
      <c r="AJ37" s="22"/>
      <c r="AK37" s="22"/>
      <c r="AL37" s="22"/>
      <c r="AM37" s="22"/>
    </row>
    <row r="38" spans="1:39" x14ac:dyDescent="0.2">
      <c r="A38" s="14">
        <v>0</v>
      </c>
      <c r="B38" s="19">
        <v>0</v>
      </c>
      <c r="C38" s="20">
        <v>0</v>
      </c>
      <c r="D38" s="20">
        <v>0</v>
      </c>
      <c r="E38" s="20">
        <v>0</v>
      </c>
      <c r="F38" s="217"/>
      <c r="G38" s="217"/>
      <c r="H38" s="217"/>
      <c r="I38" s="217"/>
      <c r="J38" s="217"/>
      <c r="K38" s="217"/>
      <c r="L38" s="217"/>
      <c r="M38" s="217"/>
      <c r="N38" s="217"/>
      <c r="O38" s="217"/>
      <c r="P38" s="217"/>
      <c r="Q38" s="217"/>
      <c r="R38" s="217"/>
      <c r="S38" s="217"/>
      <c r="T38" s="217"/>
      <c r="U38" s="217"/>
      <c r="V38" s="217"/>
      <c r="W38" s="217"/>
      <c r="X38" s="14">
        <v>0</v>
      </c>
      <c r="Y38" s="22" t="s">
        <v>90</v>
      </c>
      <c r="Z38" s="217"/>
      <c r="AA38" s="217"/>
      <c r="AB38" s="59"/>
      <c r="AC38" s="59"/>
      <c r="AD38" s="59"/>
      <c r="AE38" s="239">
        <f t="shared" si="36"/>
        <v>151000.01</v>
      </c>
      <c r="AF38" s="239">
        <v>39971</v>
      </c>
      <c r="AG38" s="22"/>
      <c r="AH38" s="40"/>
      <c r="AI38" s="22"/>
      <c r="AJ38" s="22"/>
      <c r="AK38" s="22"/>
      <c r="AL38" s="22"/>
      <c r="AM38" s="22"/>
    </row>
    <row r="39" spans="1:39" x14ac:dyDescent="0.2">
      <c r="A39" s="14">
        <v>1</v>
      </c>
      <c r="B39" s="13">
        <f t="shared" ref="B39:B48" si="39">+ROUND($B$51/12*A39,2)</f>
        <v>67071.360000000001</v>
      </c>
      <c r="C39" s="13">
        <f t="shared" ref="C39:C48" si="40">+ROUND(B39*1.22,2)</f>
        <v>81827.06</v>
      </c>
      <c r="D39" s="19">
        <v>0</v>
      </c>
      <c r="E39" s="19">
        <v>0</v>
      </c>
      <c r="F39" s="217"/>
      <c r="G39" s="217"/>
      <c r="H39" s="217"/>
      <c r="I39" s="217"/>
      <c r="J39" s="217"/>
      <c r="K39" s="217"/>
      <c r="L39" s="217"/>
      <c r="M39" s="22"/>
      <c r="N39" s="22"/>
      <c r="O39" s="22"/>
      <c r="P39" s="217"/>
      <c r="Q39" s="217"/>
      <c r="R39" s="217"/>
      <c r="S39" s="217"/>
      <c r="T39" s="217"/>
      <c r="U39" s="217"/>
      <c r="V39" s="217"/>
      <c r="W39" s="217"/>
      <c r="X39" s="14">
        <v>1</v>
      </c>
      <c r="Y39" s="22" t="s">
        <v>92</v>
      </c>
      <c r="Z39" s="217"/>
      <c r="AA39" s="217"/>
      <c r="AB39" s="59"/>
      <c r="AC39" s="59"/>
      <c r="AD39" s="59"/>
      <c r="AE39" s="239">
        <f t="shared" si="36"/>
        <v>151100.01</v>
      </c>
      <c r="AF39" s="239">
        <v>39710</v>
      </c>
      <c r="AG39" s="22"/>
      <c r="AH39" s="40"/>
      <c r="AI39" s="22"/>
      <c r="AJ39" s="22"/>
      <c r="AK39" s="22"/>
      <c r="AL39" s="22"/>
      <c r="AM39" s="22"/>
    </row>
    <row r="40" spans="1:39" x14ac:dyDescent="0.2">
      <c r="A40" s="14">
        <v>2</v>
      </c>
      <c r="B40" s="13">
        <f t="shared" si="39"/>
        <v>134142.72</v>
      </c>
      <c r="C40" s="13">
        <f t="shared" si="40"/>
        <v>163654.12</v>
      </c>
      <c r="D40" s="19">
        <v>0</v>
      </c>
      <c r="E40" s="19">
        <v>0</v>
      </c>
      <c r="F40" s="217"/>
      <c r="G40" s="217"/>
      <c r="H40" s="217"/>
      <c r="I40" s="217"/>
      <c r="J40" s="217"/>
      <c r="K40" s="217"/>
      <c r="L40" s="217"/>
      <c r="M40" s="217"/>
      <c r="N40" s="217"/>
      <c r="O40" s="217"/>
      <c r="P40" s="217"/>
      <c r="Q40" s="217"/>
      <c r="R40" s="217"/>
      <c r="S40" s="217"/>
      <c r="T40" s="217"/>
      <c r="U40" s="217"/>
      <c r="V40" s="217"/>
      <c r="W40" s="217"/>
      <c r="X40" s="14">
        <v>2</v>
      </c>
      <c r="Y40" s="22" t="s">
        <v>93</v>
      </c>
      <c r="Z40" s="217"/>
      <c r="AA40" s="217"/>
      <c r="AB40" s="59"/>
      <c r="AC40" s="59"/>
      <c r="AD40" s="59"/>
      <c r="AE40" s="239">
        <f t="shared" si="36"/>
        <v>151200.01</v>
      </c>
      <c r="AF40" s="239">
        <v>39452</v>
      </c>
      <c r="AG40" s="22"/>
      <c r="AH40" s="40"/>
      <c r="AI40" s="22"/>
      <c r="AJ40" s="22"/>
      <c r="AK40" s="22"/>
      <c r="AL40" s="22"/>
      <c r="AM40" s="22"/>
    </row>
    <row r="41" spans="1:39" x14ac:dyDescent="0.2">
      <c r="A41" s="14">
        <v>3</v>
      </c>
      <c r="B41" s="13">
        <f t="shared" si="39"/>
        <v>201214.09</v>
      </c>
      <c r="C41" s="13">
        <f t="shared" si="40"/>
        <v>245481.19</v>
      </c>
      <c r="D41" s="19">
        <v>0</v>
      </c>
      <c r="E41" s="19">
        <v>0</v>
      </c>
      <c r="F41" s="217"/>
      <c r="G41" s="217"/>
      <c r="H41" s="217"/>
      <c r="I41" s="217"/>
      <c r="J41" s="217"/>
      <c r="K41" s="217"/>
      <c r="L41" s="217"/>
      <c r="M41" s="217"/>
      <c r="N41" s="217"/>
      <c r="O41" s="217"/>
      <c r="P41" s="217"/>
      <c r="Q41" s="217"/>
      <c r="R41" s="217"/>
      <c r="S41" s="217"/>
      <c r="T41" s="217"/>
      <c r="U41" s="217"/>
      <c r="V41" s="217"/>
      <c r="W41" s="217"/>
      <c r="X41" s="14">
        <v>3</v>
      </c>
      <c r="Y41" s="22" t="s">
        <v>363</v>
      </c>
      <c r="Z41" s="217"/>
      <c r="AA41" s="217"/>
      <c r="AB41" s="59"/>
      <c r="AC41" s="59"/>
      <c r="AD41" s="59"/>
      <c r="AE41" s="239">
        <f t="shared" si="36"/>
        <v>151300.01</v>
      </c>
      <c r="AF41" s="239">
        <v>39199</v>
      </c>
      <c r="AG41" s="22"/>
      <c r="AH41" s="40"/>
      <c r="AI41" s="22"/>
      <c r="AJ41" s="22"/>
      <c r="AK41" s="22"/>
      <c r="AL41" s="22"/>
      <c r="AM41" s="22"/>
    </row>
    <row r="42" spans="1:39" x14ac:dyDescent="0.2">
      <c r="A42" s="14">
        <v>4</v>
      </c>
      <c r="B42" s="13">
        <f t="shared" si="39"/>
        <v>268285.45</v>
      </c>
      <c r="C42" s="13">
        <f t="shared" si="40"/>
        <v>327308.25</v>
      </c>
      <c r="D42" s="19">
        <v>0</v>
      </c>
      <c r="E42" s="19">
        <v>0</v>
      </c>
      <c r="F42" s="217"/>
      <c r="G42" s="217"/>
      <c r="H42" s="217"/>
      <c r="I42" s="217"/>
      <c r="J42" s="217"/>
      <c r="K42" s="217"/>
      <c r="L42" s="217"/>
      <c r="M42" s="217"/>
      <c r="N42" s="217"/>
      <c r="O42" s="217"/>
      <c r="P42" s="217"/>
      <c r="Q42" s="217"/>
      <c r="R42" s="217"/>
      <c r="S42" s="217"/>
      <c r="T42" s="217"/>
      <c r="U42" s="217"/>
      <c r="V42" s="217"/>
      <c r="W42" s="217"/>
      <c r="X42" s="14">
        <v>4</v>
      </c>
      <c r="Y42" s="22" t="s">
        <v>247</v>
      </c>
      <c r="Z42" s="217"/>
      <c r="AA42" s="217"/>
      <c r="AB42" s="59"/>
      <c r="AC42" s="59"/>
      <c r="AD42" s="59"/>
      <c r="AE42" s="239">
        <f t="shared" si="36"/>
        <v>151400.01</v>
      </c>
      <c r="AF42" s="239">
        <v>38948</v>
      </c>
      <c r="AG42" s="22"/>
      <c r="AH42" s="40"/>
      <c r="AI42" s="22"/>
      <c r="AJ42" s="22"/>
      <c r="AK42" s="22"/>
      <c r="AL42" s="22"/>
      <c r="AM42" s="22"/>
    </row>
    <row r="43" spans="1:39" x14ac:dyDescent="0.2">
      <c r="A43" s="14">
        <v>5</v>
      </c>
      <c r="B43" s="13">
        <f t="shared" si="39"/>
        <v>335356.81</v>
      </c>
      <c r="C43" s="13">
        <f t="shared" si="40"/>
        <v>409135.31</v>
      </c>
      <c r="D43" s="19">
        <v>0</v>
      </c>
      <c r="E43" s="19">
        <v>0</v>
      </c>
      <c r="F43" s="217"/>
      <c r="G43" s="217"/>
      <c r="H43" s="217"/>
      <c r="I43" s="217"/>
      <c r="J43" s="217"/>
      <c r="K43" s="217"/>
      <c r="L43" s="217"/>
      <c r="M43" s="217"/>
      <c r="N43" s="217"/>
      <c r="O43" s="217"/>
      <c r="P43" s="217"/>
      <c r="Q43" s="217"/>
      <c r="R43" s="217"/>
      <c r="S43" s="217"/>
      <c r="T43" s="217"/>
      <c r="U43" s="217"/>
      <c r="V43" s="217"/>
      <c r="W43" s="217"/>
      <c r="X43" s="14">
        <v>5</v>
      </c>
      <c r="Y43" s="22" t="s">
        <v>247</v>
      </c>
      <c r="Z43" s="217"/>
      <c r="AA43" s="217"/>
      <c r="AB43" s="59"/>
      <c r="AC43" s="59"/>
      <c r="AD43" s="59"/>
      <c r="AE43" s="239">
        <f t="shared" si="36"/>
        <v>151500.01</v>
      </c>
      <c r="AF43" s="239">
        <v>38700</v>
      </c>
      <c r="AG43" s="22"/>
      <c r="AH43" s="40"/>
      <c r="AI43" s="22"/>
      <c r="AJ43" s="22"/>
      <c r="AK43" s="22"/>
      <c r="AL43" s="22"/>
      <c r="AM43" s="22"/>
    </row>
    <row r="44" spans="1:39" x14ac:dyDescent="0.2">
      <c r="A44" s="14">
        <v>6</v>
      </c>
      <c r="B44" s="13">
        <f t="shared" si="39"/>
        <v>402428.17</v>
      </c>
      <c r="C44" s="13">
        <f t="shared" si="40"/>
        <v>490962.37</v>
      </c>
      <c r="D44" s="19">
        <v>0</v>
      </c>
      <c r="E44" s="19">
        <v>0</v>
      </c>
      <c r="F44" s="217"/>
      <c r="G44" s="217"/>
      <c r="H44" s="217"/>
      <c r="I44" s="217"/>
      <c r="J44" s="217"/>
      <c r="K44" s="217"/>
      <c r="L44" s="217"/>
      <c r="M44" s="217"/>
      <c r="N44" s="217"/>
      <c r="O44" s="217"/>
      <c r="P44" s="217"/>
      <c r="Q44" s="217"/>
      <c r="R44" s="217"/>
      <c r="S44" s="217"/>
      <c r="T44" s="217"/>
      <c r="U44" s="217"/>
      <c r="V44" s="217"/>
      <c r="W44" s="217"/>
      <c r="X44" s="14">
        <v>6</v>
      </c>
      <c r="Y44" s="22" t="s">
        <v>247</v>
      </c>
      <c r="Z44" s="217"/>
      <c r="AA44" s="217"/>
      <c r="AB44" s="59"/>
      <c r="AC44" s="59"/>
      <c r="AD44" s="59"/>
      <c r="AE44" s="239">
        <f t="shared" si="36"/>
        <v>151600.01</v>
      </c>
      <c r="AF44" s="239">
        <v>38454</v>
      </c>
      <c r="AG44" s="22"/>
      <c r="AH44" s="40"/>
      <c r="AI44" s="22"/>
      <c r="AJ44" s="22"/>
      <c r="AK44" s="22"/>
      <c r="AL44" s="22"/>
      <c r="AM44" s="22"/>
    </row>
    <row r="45" spans="1:39" x14ac:dyDescent="0.2">
      <c r="A45" s="14">
        <v>7</v>
      </c>
      <c r="B45" s="13">
        <f t="shared" si="39"/>
        <v>469499.53</v>
      </c>
      <c r="C45" s="13">
        <f t="shared" si="40"/>
        <v>572789.43000000005</v>
      </c>
      <c r="D45" s="19">
        <v>0</v>
      </c>
      <c r="E45" s="19">
        <v>0</v>
      </c>
      <c r="F45" s="217"/>
      <c r="G45" s="217"/>
      <c r="H45" s="217"/>
      <c r="I45" s="217"/>
      <c r="J45" s="217"/>
      <c r="K45" s="217"/>
      <c r="L45" s="217"/>
      <c r="M45" s="217"/>
      <c r="N45" s="217"/>
      <c r="O45" s="217"/>
      <c r="P45" s="217"/>
      <c r="Q45" s="217"/>
      <c r="R45" s="217"/>
      <c r="S45" s="217"/>
      <c r="T45" s="217"/>
      <c r="U45" s="217"/>
      <c r="V45" s="217"/>
      <c r="W45" s="217"/>
      <c r="X45" s="14">
        <v>7</v>
      </c>
      <c r="Y45" s="22" t="s">
        <v>247</v>
      </c>
      <c r="Z45" s="217"/>
      <c r="AA45" s="217"/>
      <c r="AB45" s="59"/>
      <c r="AC45" s="59"/>
      <c r="AD45" s="59"/>
      <c r="AE45" s="239">
        <f t="shared" si="36"/>
        <v>151700.01</v>
      </c>
      <c r="AF45" s="239">
        <v>38211</v>
      </c>
      <c r="AG45" s="22"/>
      <c r="AH45" s="40"/>
      <c r="AI45" s="22"/>
      <c r="AJ45" s="22"/>
      <c r="AK45" s="22"/>
      <c r="AL45" s="22"/>
      <c r="AM45" s="22"/>
    </row>
    <row r="46" spans="1:39" x14ac:dyDescent="0.2">
      <c r="A46" s="14">
        <v>8</v>
      </c>
      <c r="B46" s="13">
        <f t="shared" si="39"/>
        <v>536570.89</v>
      </c>
      <c r="C46" s="13">
        <f t="shared" si="40"/>
        <v>654616.49</v>
      </c>
      <c r="D46" s="19">
        <v>0</v>
      </c>
      <c r="E46" s="19">
        <v>0</v>
      </c>
      <c r="F46" s="217"/>
      <c r="G46" s="217"/>
      <c r="H46" s="217"/>
      <c r="I46" s="217"/>
      <c r="J46" s="217"/>
      <c r="K46" s="217"/>
      <c r="L46" s="217"/>
      <c r="M46" s="217"/>
      <c r="N46" s="217"/>
      <c r="O46" s="217"/>
      <c r="P46" s="217"/>
      <c r="Q46" s="217"/>
      <c r="R46" s="217"/>
      <c r="S46" s="217"/>
      <c r="T46" s="217"/>
      <c r="U46" s="217"/>
      <c r="V46" s="217"/>
      <c r="W46" s="217"/>
      <c r="X46" s="14">
        <v>8</v>
      </c>
      <c r="Y46" s="22" t="s">
        <v>247</v>
      </c>
      <c r="Z46" s="217"/>
      <c r="AA46" s="217"/>
      <c r="AB46" s="59"/>
      <c r="AC46" s="59"/>
      <c r="AD46" s="59"/>
      <c r="AE46" s="239">
        <f t="shared" si="36"/>
        <v>151800.01</v>
      </c>
      <c r="AF46" s="239">
        <v>37970</v>
      </c>
      <c r="AG46" s="22"/>
      <c r="AH46" s="40"/>
      <c r="AI46" s="22"/>
      <c r="AJ46" s="22"/>
      <c r="AK46" s="22"/>
      <c r="AL46" s="22"/>
      <c r="AM46" s="22"/>
    </row>
    <row r="47" spans="1:39" x14ac:dyDescent="0.2">
      <c r="A47" s="14">
        <v>9</v>
      </c>
      <c r="B47" s="13">
        <f t="shared" si="39"/>
        <v>603642.26</v>
      </c>
      <c r="C47" s="13">
        <f t="shared" si="40"/>
        <v>736443.56</v>
      </c>
      <c r="D47" s="19">
        <v>0</v>
      </c>
      <c r="E47" s="19">
        <v>0</v>
      </c>
      <c r="F47" s="217"/>
      <c r="G47" s="217"/>
      <c r="H47" s="217"/>
      <c r="I47" s="217"/>
      <c r="J47" s="217"/>
      <c r="K47" s="217"/>
      <c r="L47" s="217"/>
      <c r="M47" s="217"/>
      <c r="N47" s="217"/>
      <c r="O47" s="217"/>
      <c r="P47" s="217"/>
      <c r="Q47" s="217"/>
      <c r="R47" s="217"/>
      <c r="S47" s="217"/>
      <c r="T47" s="217"/>
      <c r="U47" s="217"/>
      <c r="V47" s="217"/>
      <c r="W47" s="217"/>
      <c r="X47" s="14">
        <v>9</v>
      </c>
      <c r="Y47" s="22" t="s">
        <v>247</v>
      </c>
      <c r="Z47" s="59"/>
      <c r="AA47" s="59"/>
      <c r="AB47" s="59"/>
      <c r="AC47" s="59"/>
      <c r="AD47" s="59"/>
      <c r="AE47" s="239">
        <f t="shared" si="36"/>
        <v>151900.01</v>
      </c>
      <c r="AF47" s="239">
        <v>37732</v>
      </c>
      <c r="AG47" s="22"/>
      <c r="AH47" s="40"/>
      <c r="AI47" s="22"/>
      <c r="AJ47" s="22"/>
      <c r="AK47" s="22"/>
      <c r="AL47" s="22"/>
      <c r="AM47" s="22"/>
    </row>
    <row r="48" spans="1:39" x14ac:dyDescent="0.2">
      <c r="A48" s="14">
        <v>10</v>
      </c>
      <c r="B48" s="13">
        <f t="shared" si="39"/>
        <v>670713.62</v>
      </c>
      <c r="C48" s="13">
        <f t="shared" si="40"/>
        <v>818270.62</v>
      </c>
      <c r="D48" s="19">
        <v>0</v>
      </c>
      <c r="E48" s="19">
        <v>0</v>
      </c>
      <c r="F48" s="217"/>
      <c r="G48" s="217"/>
      <c r="H48" s="217"/>
      <c r="I48" s="217"/>
      <c r="J48" s="217"/>
      <c r="K48" s="217"/>
      <c r="L48" s="217"/>
      <c r="M48" s="217"/>
      <c r="N48" s="217"/>
      <c r="O48" s="217"/>
      <c r="P48" s="217"/>
      <c r="Q48" s="217"/>
      <c r="R48" s="217"/>
      <c r="S48" s="217"/>
      <c r="T48" s="217"/>
      <c r="U48" s="217"/>
      <c r="V48" s="217"/>
      <c r="W48" s="217"/>
      <c r="X48" s="14">
        <v>10</v>
      </c>
      <c r="Y48" s="22" t="s">
        <v>247</v>
      </c>
      <c r="Z48" s="59"/>
      <c r="AA48" s="59"/>
      <c r="AB48" s="59"/>
      <c r="AC48" s="59"/>
      <c r="AD48" s="59"/>
      <c r="AE48" s="239">
        <f t="shared" si="36"/>
        <v>152000.01</v>
      </c>
      <c r="AF48" s="239">
        <v>37495</v>
      </c>
      <c r="AG48" s="22"/>
      <c r="AH48" s="40"/>
      <c r="AI48" s="22"/>
      <c r="AJ48" s="22"/>
      <c r="AK48" s="22"/>
      <c r="AL48" s="22"/>
      <c r="AM48" s="22"/>
    </row>
    <row r="49" spans="1:39" x14ac:dyDescent="0.2">
      <c r="A49" s="14">
        <v>11</v>
      </c>
      <c r="B49" s="13">
        <f t="shared" ref="B49" si="41">+ROUND($B$51/12*A49,2)</f>
        <v>737784.98</v>
      </c>
      <c r="C49" s="13">
        <f t="shared" ref="C49" si="42">+ROUND(B49*1.22,2)</f>
        <v>900097.68</v>
      </c>
      <c r="D49" s="19">
        <v>0</v>
      </c>
      <c r="E49" s="19">
        <v>0</v>
      </c>
      <c r="F49" s="217"/>
      <c r="G49" s="217"/>
      <c r="H49" s="217"/>
      <c r="I49" s="217"/>
      <c r="J49" s="217"/>
      <c r="K49" s="217"/>
      <c r="L49" s="217"/>
      <c r="M49" s="217"/>
      <c r="N49" s="217"/>
      <c r="O49" s="217"/>
      <c r="P49" s="217"/>
      <c r="Q49" s="217"/>
      <c r="R49" s="217"/>
      <c r="S49" s="217"/>
      <c r="T49" s="217"/>
      <c r="U49" s="217"/>
      <c r="V49" s="217"/>
      <c r="W49" s="217"/>
      <c r="X49" s="14">
        <v>11</v>
      </c>
      <c r="Y49" s="22" t="s">
        <v>247</v>
      </c>
      <c r="Z49" s="59"/>
      <c r="AA49" s="59"/>
      <c r="AB49" s="59"/>
      <c r="AC49" s="59"/>
      <c r="AD49" s="59"/>
      <c r="AE49" s="239">
        <f t="shared" si="36"/>
        <v>152100.01</v>
      </c>
      <c r="AF49" s="239">
        <v>37261</v>
      </c>
      <c r="AG49" s="22"/>
      <c r="AH49" s="40"/>
      <c r="AI49" s="22"/>
      <c r="AJ49" s="22"/>
      <c r="AK49" s="22"/>
      <c r="AL49" s="22"/>
      <c r="AM49" s="22"/>
    </row>
    <row r="50" spans="1:39" x14ac:dyDescent="0.2">
      <c r="A50" s="14">
        <v>12</v>
      </c>
      <c r="B50" s="13">
        <f>+B51</f>
        <v>804856.34</v>
      </c>
      <c r="C50" s="19">
        <f>+C51</f>
        <v>981924.74</v>
      </c>
      <c r="D50" s="19">
        <v>0</v>
      </c>
      <c r="E50" s="19">
        <v>0</v>
      </c>
      <c r="F50" s="217"/>
      <c r="G50" s="217"/>
      <c r="H50" s="217"/>
      <c r="I50" s="217"/>
      <c r="J50" s="217"/>
      <c r="K50" s="217"/>
      <c r="L50" s="217"/>
      <c r="M50" s="217"/>
      <c r="N50" s="217"/>
      <c r="O50" s="217"/>
      <c r="P50" s="217"/>
      <c r="Q50" s="217"/>
      <c r="R50" s="217"/>
      <c r="S50" s="217"/>
      <c r="T50" s="217"/>
      <c r="U50" s="217"/>
      <c r="V50" s="217"/>
      <c r="W50" s="217"/>
      <c r="X50" s="14">
        <v>12</v>
      </c>
      <c r="Y50" s="22" t="s">
        <v>247</v>
      </c>
      <c r="Z50" s="59"/>
      <c r="AA50" s="59"/>
      <c r="AB50" s="59"/>
      <c r="AC50" s="59"/>
      <c r="AD50" s="59"/>
      <c r="AE50" s="239">
        <f t="shared" si="36"/>
        <v>152200.01</v>
      </c>
      <c r="AF50" s="239">
        <v>37028</v>
      </c>
      <c r="AG50" s="22"/>
      <c r="AH50" s="40"/>
      <c r="AI50" s="22"/>
      <c r="AJ50" s="22"/>
      <c r="AK50" s="22"/>
      <c r="AL50" s="22"/>
      <c r="AM50" s="22"/>
    </row>
    <row r="51" spans="1:39" ht="13.5" thickBot="1" x14ac:dyDescent="0.25">
      <c r="A51" s="14">
        <v>13</v>
      </c>
      <c r="B51" s="19">
        <v>804856.34</v>
      </c>
      <c r="C51" s="20">
        <v>981924.74</v>
      </c>
      <c r="D51" s="19">
        <v>0</v>
      </c>
      <c r="E51" s="19">
        <v>0</v>
      </c>
      <c r="F51" s="217"/>
      <c r="G51" s="217"/>
      <c r="H51" s="217"/>
      <c r="I51" s="217"/>
      <c r="J51" s="217"/>
      <c r="K51" s="217"/>
      <c r="L51" s="217"/>
      <c r="M51" s="217"/>
      <c r="N51" s="217"/>
      <c r="O51" s="217"/>
      <c r="P51" s="217"/>
      <c r="Q51" s="217"/>
      <c r="R51" s="217"/>
      <c r="S51" s="217"/>
      <c r="T51" s="217"/>
      <c r="U51" s="217"/>
      <c r="V51" s="217"/>
      <c r="W51" s="217"/>
      <c r="X51" s="14">
        <v>13</v>
      </c>
      <c r="Y51" s="22" t="s">
        <v>247</v>
      </c>
      <c r="Z51" s="59"/>
      <c r="AA51" s="59"/>
      <c r="AB51" s="59"/>
      <c r="AC51" s="59"/>
      <c r="AD51" s="59"/>
      <c r="AE51" s="239">
        <f t="shared" si="36"/>
        <v>152300.01</v>
      </c>
      <c r="AF51" s="239">
        <v>36797</v>
      </c>
      <c r="AG51" s="22"/>
      <c r="AH51" s="40"/>
      <c r="AI51" s="22"/>
      <c r="AJ51" s="22"/>
      <c r="AK51" s="22"/>
      <c r="AL51" s="22"/>
      <c r="AM51" s="22"/>
    </row>
    <row r="52" spans="1:39" ht="13.5" thickBot="1" x14ac:dyDescent="0.25">
      <c r="A52" s="217"/>
      <c r="B52" s="343" t="s">
        <v>85</v>
      </c>
      <c r="C52" s="344"/>
      <c r="D52" s="344"/>
      <c r="E52" s="344"/>
      <c r="F52" s="344"/>
      <c r="G52" s="344"/>
      <c r="H52" s="344"/>
      <c r="I52" s="344"/>
      <c r="J52" s="344"/>
      <c r="K52" s="344"/>
      <c r="L52" s="344"/>
      <c r="M52" s="344"/>
      <c r="N52" s="344"/>
      <c r="O52" s="344"/>
      <c r="P52" s="345"/>
      <c r="Q52" s="217"/>
      <c r="R52" s="217"/>
      <c r="S52" s="217"/>
      <c r="T52" s="217"/>
      <c r="U52" s="217"/>
      <c r="V52" s="217"/>
      <c r="W52" s="217"/>
      <c r="X52" s="14">
        <v>14</v>
      </c>
      <c r="Y52" s="22" t="s">
        <v>247</v>
      </c>
      <c r="Z52" s="59"/>
      <c r="AA52" s="59"/>
      <c r="AB52" s="59"/>
      <c r="AC52" s="59"/>
      <c r="AD52" s="59"/>
      <c r="AE52" s="239">
        <f t="shared" si="36"/>
        <v>152400.01</v>
      </c>
      <c r="AF52" s="239">
        <v>36567</v>
      </c>
      <c r="AG52" s="22"/>
      <c r="AH52" s="40"/>
      <c r="AI52" s="22"/>
      <c r="AJ52" s="22"/>
      <c r="AK52" s="22"/>
      <c r="AL52" s="22"/>
      <c r="AM52" s="22"/>
    </row>
    <row r="53" spans="1:39" x14ac:dyDescent="0.2">
      <c r="A53" s="14" t="s">
        <v>29</v>
      </c>
      <c r="B53" s="227">
        <v>0</v>
      </c>
      <c r="C53" s="227">
        <v>1</v>
      </c>
      <c r="D53" s="227">
        <v>2</v>
      </c>
      <c r="E53" s="227">
        <v>3</v>
      </c>
      <c r="F53" s="227">
        <v>4</v>
      </c>
      <c r="G53" s="227">
        <v>5</v>
      </c>
      <c r="H53" s="227">
        <v>6</v>
      </c>
      <c r="I53" s="227">
        <v>7</v>
      </c>
      <c r="J53" s="227">
        <v>8</v>
      </c>
      <c r="K53" s="227">
        <v>9</v>
      </c>
      <c r="L53" s="227">
        <v>10</v>
      </c>
      <c r="M53" s="227">
        <v>11</v>
      </c>
      <c r="N53" s="227">
        <v>12</v>
      </c>
      <c r="O53" s="227">
        <v>13</v>
      </c>
      <c r="P53" s="227">
        <v>14</v>
      </c>
      <c r="Q53" s="217"/>
      <c r="R53" s="217"/>
      <c r="S53" s="217"/>
      <c r="T53" s="217"/>
      <c r="U53" s="217"/>
      <c r="V53" s="217"/>
      <c r="W53" s="217"/>
      <c r="X53" s="217"/>
      <c r="Y53" s="218"/>
      <c r="Z53" s="59"/>
      <c r="AA53" s="59"/>
      <c r="AB53" s="59"/>
      <c r="AC53" s="59"/>
      <c r="AD53" s="59"/>
      <c r="AE53" s="239">
        <f t="shared" si="36"/>
        <v>152500.01</v>
      </c>
      <c r="AF53" s="239">
        <v>36339</v>
      </c>
      <c r="AG53" s="22"/>
      <c r="AH53" s="40"/>
      <c r="AI53" s="22"/>
      <c r="AJ53" s="22"/>
      <c r="AK53" s="22"/>
      <c r="AL53" s="22"/>
      <c r="AM53" s="22"/>
    </row>
    <row r="54" spans="1:39" x14ac:dyDescent="0.2">
      <c r="A54" s="14">
        <v>0</v>
      </c>
      <c r="B54" s="20">
        <v>0</v>
      </c>
      <c r="C54" s="20">
        <v>0</v>
      </c>
      <c r="D54" s="20">
        <v>0</v>
      </c>
      <c r="E54" s="20">
        <f>+C54</f>
        <v>0</v>
      </c>
      <c r="F54" s="217"/>
      <c r="G54" s="217"/>
      <c r="H54" s="217"/>
      <c r="I54" s="217"/>
      <c r="J54" s="217"/>
      <c r="K54" s="217"/>
      <c r="L54" s="217"/>
      <c r="M54" s="217"/>
      <c r="N54" s="217"/>
      <c r="O54" s="217"/>
      <c r="P54" s="217"/>
      <c r="Q54" s="217"/>
      <c r="R54" s="217"/>
      <c r="S54" s="217"/>
      <c r="T54" s="217"/>
      <c r="U54" s="217"/>
      <c r="V54" s="217"/>
      <c r="W54" s="217"/>
      <c r="X54" s="217"/>
      <c r="Y54" s="218"/>
      <c r="Z54" s="59"/>
      <c r="AA54" s="59"/>
      <c r="AB54" s="59"/>
      <c r="AC54" s="59"/>
      <c r="AD54" s="59"/>
      <c r="AE54" s="239">
        <f t="shared" si="36"/>
        <v>152600.01</v>
      </c>
      <c r="AF54" s="239">
        <v>36113</v>
      </c>
      <c r="AG54" s="22"/>
      <c r="AH54" s="40"/>
      <c r="AI54" s="22"/>
      <c r="AJ54" s="22"/>
      <c r="AK54" s="22"/>
      <c r="AL54" s="22"/>
      <c r="AM54" s="22"/>
    </row>
    <row r="55" spans="1:39" x14ac:dyDescent="0.2">
      <c r="A55" s="14">
        <v>1</v>
      </c>
      <c r="B55" s="13">
        <f t="shared" ref="B55:C65" si="43">+ROUND(B$67/12*$A55,2)</f>
        <v>13026.72</v>
      </c>
      <c r="C55" s="13">
        <f>+ROUND(C$67/12*$A55,2)</f>
        <v>15892.6</v>
      </c>
      <c r="D55" s="13">
        <f t="shared" ref="D55:D65" si="44">+ROUND(D$67/12*$A55,2)</f>
        <v>13026.72</v>
      </c>
      <c r="E55" s="20">
        <f t="shared" ref="E55:E67" si="45">+C55</f>
        <v>15892.6</v>
      </c>
      <c r="F55" s="217"/>
      <c r="G55" s="217"/>
      <c r="H55" s="217"/>
      <c r="I55" s="217"/>
      <c r="J55" s="217"/>
      <c r="K55" s="217"/>
      <c r="L55" s="217"/>
      <c r="M55" s="217"/>
      <c r="N55" s="217"/>
      <c r="O55" s="217"/>
      <c r="P55" s="217"/>
      <c r="Q55" s="217"/>
      <c r="R55" s="217"/>
      <c r="S55" s="217"/>
      <c r="T55" s="217"/>
      <c r="U55" s="217"/>
      <c r="V55" s="217"/>
      <c r="W55" s="217"/>
      <c r="X55" s="217"/>
      <c r="Y55" s="218"/>
      <c r="Z55" s="59"/>
      <c r="AA55" s="59"/>
      <c r="AB55" s="59"/>
      <c r="AC55" s="59"/>
      <c r="AD55" s="59"/>
      <c r="AE55" s="239">
        <f t="shared" si="36"/>
        <v>152700.01</v>
      </c>
      <c r="AF55" s="239">
        <v>35888</v>
      </c>
      <c r="AG55" s="22"/>
      <c r="AH55" s="40"/>
      <c r="AI55" s="22"/>
      <c r="AJ55" s="22"/>
      <c r="AK55" s="22"/>
      <c r="AL55" s="22"/>
      <c r="AM55" s="22"/>
    </row>
    <row r="56" spans="1:39" x14ac:dyDescent="0.2">
      <c r="A56" s="14">
        <v>2</v>
      </c>
      <c r="B56" s="13">
        <f t="shared" si="43"/>
        <v>26053.439999999999</v>
      </c>
      <c r="C56" s="13">
        <f t="shared" si="43"/>
        <v>31785.200000000001</v>
      </c>
      <c r="D56" s="13">
        <f t="shared" si="44"/>
        <v>26053.439999999999</v>
      </c>
      <c r="E56" s="20">
        <f t="shared" si="45"/>
        <v>31785.200000000001</v>
      </c>
      <c r="F56" s="217"/>
      <c r="G56" s="217"/>
      <c r="H56" s="217"/>
      <c r="I56" s="217"/>
      <c r="J56" s="217"/>
      <c r="K56" s="217"/>
      <c r="L56" s="217"/>
      <c r="M56" s="217"/>
      <c r="N56" s="217"/>
      <c r="O56" s="217"/>
      <c r="P56" s="217"/>
      <c r="Q56" s="217"/>
      <c r="R56" s="217"/>
      <c r="S56" s="217"/>
      <c r="T56" s="217"/>
      <c r="U56" s="217"/>
      <c r="V56" s="217"/>
      <c r="W56" s="217"/>
      <c r="X56" s="217"/>
      <c r="Y56" s="218"/>
      <c r="Z56" s="59"/>
      <c r="AA56" s="59"/>
      <c r="AB56" s="59"/>
      <c r="AC56" s="59"/>
      <c r="AD56" s="59"/>
      <c r="AE56" s="239">
        <f t="shared" si="36"/>
        <v>152800.01</v>
      </c>
      <c r="AF56" s="239">
        <v>35664</v>
      </c>
      <c r="AG56" s="22"/>
      <c r="AH56" s="40"/>
      <c r="AI56" s="22"/>
      <c r="AJ56" s="22"/>
      <c r="AK56" s="22"/>
      <c r="AL56" s="22"/>
      <c r="AM56" s="22"/>
    </row>
    <row r="57" spans="1:39" x14ac:dyDescent="0.2">
      <c r="A57" s="14">
        <v>3</v>
      </c>
      <c r="B57" s="13">
        <f t="shared" si="43"/>
        <v>39080.160000000003</v>
      </c>
      <c r="C57" s="13">
        <f t="shared" si="43"/>
        <v>47677.8</v>
      </c>
      <c r="D57" s="13">
        <f t="shared" si="44"/>
        <v>39080.160000000003</v>
      </c>
      <c r="E57" s="20">
        <f t="shared" si="45"/>
        <v>47677.8</v>
      </c>
      <c r="F57" s="217"/>
      <c r="G57" s="217"/>
      <c r="H57" s="217"/>
      <c r="I57" s="217"/>
      <c r="J57" s="217"/>
      <c r="K57" s="217"/>
      <c r="L57" s="217"/>
      <c r="M57" s="217"/>
      <c r="N57" s="217"/>
      <c r="O57" s="217"/>
      <c r="P57" s="217"/>
      <c r="Q57" s="217"/>
      <c r="R57" s="217"/>
      <c r="S57" s="217"/>
      <c r="T57" s="217"/>
      <c r="U57" s="217"/>
      <c r="V57" s="217"/>
      <c r="W57" s="217"/>
      <c r="X57" s="217"/>
      <c r="Y57" s="218"/>
      <c r="Z57" s="59"/>
      <c r="AA57" s="59"/>
      <c r="AB57" s="59"/>
      <c r="AC57" s="59"/>
      <c r="AD57" s="59"/>
      <c r="AE57" s="239">
        <f t="shared" si="36"/>
        <v>152900.01</v>
      </c>
      <c r="AF57" s="239">
        <v>35442</v>
      </c>
      <c r="AG57" s="22"/>
      <c r="AH57" s="40"/>
      <c r="AI57" s="22"/>
      <c r="AJ57" s="22"/>
      <c r="AK57" s="22"/>
      <c r="AL57" s="22"/>
      <c r="AM57" s="22"/>
    </row>
    <row r="58" spans="1:39" x14ac:dyDescent="0.2">
      <c r="A58" s="14">
        <v>4</v>
      </c>
      <c r="B58" s="13">
        <f t="shared" si="43"/>
        <v>52106.879999999997</v>
      </c>
      <c r="C58" s="13">
        <f t="shared" si="43"/>
        <v>63570.39</v>
      </c>
      <c r="D58" s="13">
        <f t="shared" si="44"/>
        <v>52106.879999999997</v>
      </c>
      <c r="E58" s="20">
        <f t="shared" si="45"/>
        <v>63570.39</v>
      </c>
      <c r="F58" s="217"/>
      <c r="G58" s="217"/>
      <c r="H58" s="217"/>
      <c r="I58" s="217"/>
      <c r="J58" s="217"/>
      <c r="K58" s="217"/>
      <c r="L58" s="217"/>
      <c r="M58" s="217"/>
      <c r="N58" s="217"/>
      <c r="O58" s="217"/>
      <c r="P58" s="217"/>
      <c r="Q58" s="217"/>
      <c r="R58" s="217"/>
      <c r="S58" s="217"/>
      <c r="T58" s="217"/>
      <c r="U58" s="217"/>
      <c r="V58" s="217"/>
      <c r="W58" s="217"/>
      <c r="X58" s="217"/>
      <c r="Y58" s="218"/>
      <c r="Z58" s="59"/>
      <c r="AA58" s="59"/>
      <c r="AB58" s="59"/>
      <c r="AC58" s="59"/>
      <c r="AD58" s="59"/>
      <c r="AE58" s="239">
        <f t="shared" si="36"/>
        <v>153000.01</v>
      </c>
      <c r="AF58" s="239">
        <v>35221</v>
      </c>
      <c r="AG58" s="22"/>
      <c r="AH58" s="40"/>
      <c r="AI58" s="22"/>
      <c r="AJ58" s="22"/>
      <c r="AK58" s="22"/>
      <c r="AL58" s="22"/>
      <c r="AM58" s="22"/>
    </row>
    <row r="59" spans="1:39" x14ac:dyDescent="0.2">
      <c r="A59" s="14">
        <v>5</v>
      </c>
      <c r="B59" s="13">
        <f t="shared" si="43"/>
        <v>65133.599999999999</v>
      </c>
      <c r="C59" s="13">
        <f t="shared" si="43"/>
        <v>79462.990000000005</v>
      </c>
      <c r="D59" s="13">
        <f t="shared" si="44"/>
        <v>65133.599999999999</v>
      </c>
      <c r="E59" s="20">
        <f t="shared" si="45"/>
        <v>79462.990000000005</v>
      </c>
      <c r="F59" s="217"/>
      <c r="G59" s="217"/>
      <c r="H59" s="217"/>
      <c r="I59" s="217"/>
      <c r="J59" s="217"/>
      <c r="K59" s="217"/>
      <c r="L59" s="217"/>
      <c r="M59" s="217"/>
      <c r="N59" s="217"/>
      <c r="O59" s="217"/>
      <c r="P59" s="217"/>
      <c r="Q59" s="217"/>
      <c r="R59" s="217"/>
      <c r="S59" s="217"/>
      <c r="T59" s="217"/>
      <c r="U59" s="217"/>
      <c r="V59" s="217"/>
      <c r="W59" s="217"/>
      <c r="X59" s="217"/>
      <c r="Y59" s="218"/>
      <c r="Z59" s="59"/>
      <c r="AA59" s="59"/>
      <c r="AB59" s="59"/>
      <c r="AC59" s="59"/>
      <c r="AD59" s="59"/>
      <c r="AE59" s="239">
        <f t="shared" si="36"/>
        <v>153100.01</v>
      </c>
      <c r="AF59" s="239">
        <v>35001</v>
      </c>
      <c r="AG59" s="22"/>
      <c r="AH59" s="40"/>
      <c r="AI59" s="22"/>
      <c r="AJ59" s="22"/>
      <c r="AK59" s="22"/>
      <c r="AL59" s="22"/>
      <c r="AM59" s="22"/>
    </row>
    <row r="60" spans="1:39" x14ac:dyDescent="0.2">
      <c r="A60" s="14">
        <v>6</v>
      </c>
      <c r="B60" s="13">
        <f t="shared" si="43"/>
        <v>78160.320000000007</v>
      </c>
      <c r="C60" s="13">
        <f t="shared" si="43"/>
        <v>95355.59</v>
      </c>
      <c r="D60" s="13">
        <f t="shared" si="44"/>
        <v>78160.320000000007</v>
      </c>
      <c r="E60" s="20">
        <f t="shared" si="45"/>
        <v>95355.59</v>
      </c>
      <c r="F60" s="217"/>
      <c r="G60" s="217"/>
      <c r="H60" s="217"/>
      <c r="I60" s="217"/>
      <c r="J60" s="217"/>
      <c r="K60" s="217"/>
      <c r="L60" s="217"/>
      <c r="M60" s="217"/>
      <c r="N60" s="217"/>
      <c r="O60" s="217"/>
      <c r="P60" s="217"/>
      <c r="Q60" s="217"/>
      <c r="R60" s="217"/>
      <c r="S60" s="217"/>
      <c r="T60" s="217"/>
      <c r="U60" s="217"/>
      <c r="V60" s="217"/>
      <c r="W60" s="217"/>
      <c r="X60" s="217"/>
      <c r="Y60" s="218"/>
      <c r="Z60" s="59"/>
      <c r="AA60" s="59"/>
      <c r="AB60" s="59"/>
      <c r="AC60" s="59"/>
      <c r="AD60" s="59"/>
      <c r="AE60" s="239">
        <f t="shared" si="36"/>
        <v>153200.01</v>
      </c>
      <c r="AF60" s="239">
        <v>34782</v>
      </c>
      <c r="AG60" s="22"/>
      <c r="AH60" s="40"/>
      <c r="AI60" s="22"/>
      <c r="AJ60" s="22"/>
      <c r="AK60" s="22"/>
      <c r="AL60" s="22"/>
      <c r="AM60" s="22"/>
    </row>
    <row r="61" spans="1:39" x14ac:dyDescent="0.2">
      <c r="A61" s="14">
        <v>7</v>
      </c>
      <c r="B61" s="13">
        <f t="shared" si="43"/>
        <v>91187.03</v>
      </c>
      <c r="C61" s="13">
        <f t="shared" si="43"/>
        <v>111248.19</v>
      </c>
      <c r="D61" s="13">
        <f t="shared" si="44"/>
        <v>91187.03</v>
      </c>
      <c r="E61" s="20">
        <f t="shared" si="45"/>
        <v>111248.19</v>
      </c>
      <c r="F61" s="217"/>
      <c r="G61" s="217"/>
      <c r="H61" s="217"/>
      <c r="I61" s="217"/>
      <c r="J61" s="217"/>
      <c r="K61" s="217"/>
      <c r="L61" s="217"/>
      <c r="M61" s="217"/>
      <c r="N61" s="217"/>
      <c r="O61" s="217"/>
      <c r="P61" s="217"/>
      <c r="Q61" s="217"/>
      <c r="R61" s="217"/>
      <c r="S61" s="217"/>
      <c r="T61" s="217"/>
      <c r="U61" s="217"/>
      <c r="V61" s="217"/>
      <c r="W61" s="217"/>
      <c r="X61" s="217"/>
      <c r="Y61" s="218"/>
      <c r="Z61" s="59"/>
      <c r="AA61" s="59"/>
      <c r="AB61" s="59"/>
      <c r="AC61" s="59"/>
      <c r="AD61" s="59"/>
      <c r="AE61" s="239">
        <f t="shared" si="36"/>
        <v>153300.01</v>
      </c>
      <c r="AF61" s="239">
        <v>34565</v>
      </c>
      <c r="AG61" s="22"/>
      <c r="AH61" s="40"/>
      <c r="AI61" s="22"/>
      <c r="AJ61" s="22"/>
      <c r="AK61" s="22"/>
      <c r="AL61" s="22"/>
      <c r="AM61" s="22"/>
    </row>
    <row r="62" spans="1:39" x14ac:dyDescent="0.2">
      <c r="A62" s="14">
        <v>8</v>
      </c>
      <c r="B62" s="13">
        <f t="shared" si="43"/>
        <v>104213.75</v>
      </c>
      <c r="C62" s="13">
        <f t="shared" si="43"/>
        <v>127140.79</v>
      </c>
      <c r="D62" s="13">
        <f t="shared" si="44"/>
        <v>104213.75</v>
      </c>
      <c r="E62" s="20">
        <f t="shared" si="45"/>
        <v>127140.79</v>
      </c>
      <c r="F62" s="217"/>
      <c r="G62" s="217"/>
      <c r="H62" s="217"/>
      <c r="I62" s="217"/>
      <c r="J62" s="217"/>
      <c r="K62" s="217"/>
      <c r="L62" s="217"/>
      <c r="M62" s="217"/>
      <c r="N62" s="217"/>
      <c r="O62" s="217"/>
      <c r="P62" s="217"/>
      <c r="Q62" s="217"/>
      <c r="R62" s="217"/>
      <c r="S62" s="217"/>
      <c r="T62" s="217"/>
      <c r="U62" s="217"/>
      <c r="V62" s="217"/>
      <c r="W62" s="217"/>
      <c r="X62" s="217"/>
      <c r="Y62" s="218"/>
      <c r="Z62" s="59"/>
      <c r="AA62" s="59"/>
      <c r="AB62" s="59"/>
      <c r="AC62" s="59"/>
      <c r="AD62" s="59"/>
      <c r="AE62" s="239">
        <f t="shared" si="36"/>
        <v>153400.01</v>
      </c>
      <c r="AF62" s="239">
        <v>34348</v>
      </c>
      <c r="AG62" s="22"/>
      <c r="AH62" s="40"/>
      <c r="AI62" s="22"/>
      <c r="AJ62" s="22"/>
      <c r="AK62" s="22"/>
      <c r="AL62" s="22"/>
      <c r="AM62" s="22"/>
    </row>
    <row r="63" spans="1:39" x14ac:dyDescent="0.2">
      <c r="A63" s="14">
        <v>9</v>
      </c>
      <c r="B63" s="13">
        <f t="shared" si="43"/>
        <v>117240.47</v>
      </c>
      <c r="C63" s="13">
        <f t="shared" si="43"/>
        <v>143033.39000000001</v>
      </c>
      <c r="D63" s="13">
        <f t="shared" si="44"/>
        <v>117240.47</v>
      </c>
      <c r="E63" s="20">
        <f t="shared" si="45"/>
        <v>143033.39000000001</v>
      </c>
      <c r="F63" s="217"/>
      <c r="G63" s="217"/>
      <c r="H63" s="217"/>
      <c r="I63" s="217"/>
      <c r="J63" s="217"/>
      <c r="K63" s="217"/>
      <c r="L63" s="217"/>
      <c r="M63" s="217"/>
      <c r="N63" s="217"/>
      <c r="O63" s="217"/>
      <c r="P63" s="217"/>
      <c r="Q63" s="217"/>
      <c r="R63" s="217"/>
      <c r="S63" s="217"/>
      <c r="T63" s="217"/>
      <c r="U63" s="217"/>
      <c r="V63" s="217"/>
      <c r="W63" s="217"/>
      <c r="X63" s="217"/>
      <c r="Y63" s="218"/>
      <c r="Z63" s="59"/>
      <c r="AA63" s="59"/>
      <c r="AB63" s="59"/>
      <c r="AC63" s="59"/>
      <c r="AD63" s="59"/>
      <c r="AE63" s="239">
        <f t="shared" si="36"/>
        <v>153500.01</v>
      </c>
      <c r="AF63" s="239">
        <v>34133</v>
      </c>
      <c r="AG63" s="22"/>
      <c r="AH63" s="40"/>
      <c r="AI63" s="22"/>
      <c r="AJ63" s="22"/>
      <c r="AK63" s="22"/>
      <c r="AL63" s="22"/>
      <c r="AM63" s="22"/>
    </row>
    <row r="64" spans="1:39" x14ac:dyDescent="0.2">
      <c r="A64" s="14">
        <v>10</v>
      </c>
      <c r="B64" s="13">
        <f t="shared" si="43"/>
        <v>130267.19</v>
      </c>
      <c r="C64" s="13">
        <f t="shared" si="43"/>
        <v>158925.98000000001</v>
      </c>
      <c r="D64" s="13">
        <f t="shared" si="44"/>
        <v>130267.19</v>
      </c>
      <c r="E64" s="20">
        <f t="shared" si="45"/>
        <v>158925.98000000001</v>
      </c>
      <c r="F64" s="217"/>
      <c r="G64" s="217"/>
      <c r="H64" s="217"/>
      <c r="I64" s="217"/>
      <c r="J64" s="217"/>
      <c r="K64" s="217"/>
      <c r="L64" s="217"/>
      <c r="M64" s="217"/>
      <c r="N64" s="217"/>
      <c r="O64" s="217"/>
      <c r="P64" s="217"/>
      <c r="Q64" s="217"/>
      <c r="R64" s="217"/>
      <c r="S64" s="217"/>
      <c r="T64" s="217"/>
      <c r="U64" s="217"/>
      <c r="V64" s="217"/>
      <c r="W64" s="217"/>
      <c r="X64" s="217"/>
      <c r="Y64" s="218"/>
      <c r="Z64" s="59"/>
      <c r="AA64" s="59"/>
      <c r="AB64" s="59"/>
      <c r="AC64" s="59"/>
      <c r="AD64" s="59"/>
      <c r="AE64" s="239">
        <f t="shared" si="36"/>
        <v>153600.01</v>
      </c>
      <c r="AF64" s="239">
        <v>33918</v>
      </c>
      <c r="AG64" s="22"/>
      <c r="AH64" s="40"/>
      <c r="AI64" s="22"/>
      <c r="AJ64" s="22"/>
      <c r="AK64" s="22"/>
      <c r="AL64" s="22"/>
      <c r="AM64" s="22"/>
    </row>
    <row r="65" spans="1:39" x14ac:dyDescent="0.2">
      <c r="A65" s="14">
        <v>11</v>
      </c>
      <c r="B65" s="13">
        <f t="shared" si="43"/>
        <v>143293.91</v>
      </c>
      <c r="C65" s="13">
        <f t="shared" si="43"/>
        <v>174818.58</v>
      </c>
      <c r="D65" s="13">
        <f t="shared" si="44"/>
        <v>143293.91</v>
      </c>
      <c r="E65" s="20">
        <f t="shared" si="45"/>
        <v>174818.58</v>
      </c>
      <c r="F65" s="217"/>
      <c r="G65" s="217"/>
      <c r="H65" s="217"/>
      <c r="I65" s="217"/>
      <c r="J65" s="217"/>
      <c r="K65" s="217"/>
      <c r="L65" s="217"/>
      <c r="M65" s="217"/>
      <c r="N65" s="217"/>
      <c r="O65" s="217"/>
      <c r="P65" s="217"/>
      <c r="Q65" s="217"/>
      <c r="R65" s="217"/>
      <c r="S65" s="217"/>
      <c r="T65" s="217"/>
      <c r="U65" s="217"/>
      <c r="V65" s="217"/>
      <c r="W65" s="217"/>
      <c r="X65" s="217"/>
      <c r="Y65" s="218"/>
      <c r="Z65" s="59"/>
      <c r="AA65" s="59"/>
      <c r="AB65" s="59"/>
      <c r="AC65" s="59"/>
      <c r="AD65" s="59"/>
      <c r="AE65" s="239">
        <f t="shared" si="36"/>
        <v>153700.01</v>
      </c>
      <c r="AF65" s="239">
        <v>33705</v>
      </c>
      <c r="AG65" s="22"/>
      <c r="AH65" s="40"/>
      <c r="AI65" s="22"/>
      <c r="AJ65" s="22"/>
      <c r="AK65" s="22"/>
      <c r="AL65" s="22"/>
      <c r="AM65" s="22"/>
    </row>
    <row r="66" spans="1:39" x14ac:dyDescent="0.2">
      <c r="A66" s="14">
        <v>12</v>
      </c>
      <c r="B66" s="20">
        <f>+B67</f>
        <v>156320.63</v>
      </c>
      <c r="C66" s="20">
        <f>+ROUND(B66*C18,2)</f>
        <v>190711.17</v>
      </c>
      <c r="D66" s="20">
        <f>+D67</f>
        <v>156320.63</v>
      </c>
      <c r="E66" s="20">
        <f t="shared" si="45"/>
        <v>190711.17</v>
      </c>
      <c r="F66" s="217"/>
      <c r="G66" s="217"/>
      <c r="H66" s="217"/>
      <c r="I66" s="217"/>
      <c r="J66" s="217"/>
      <c r="K66" s="217"/>
      <c r="L66" s="217"/>
      <c r="M66" s="217"/>
      <c r="N66" s="217"/>
      <c r="O66" s="217"/>
      <c r="P66" s="217"/>
      <c r="Q66" s="217"/>
      <c r="R66" s="217"/>
      <c r="S66" s="217"/>
      <c r="T66" s="217"/>
      <c r="U66" s="217"/>
      <c r="V66" s="217"/>
      <c r="W66" s="217"/>
      <c r="X66" s="217"/>
      <c r="Y66" s="218"/>
      <c r="Z66" s="59"/>
      <c r="AA66" s="59"/>
      <c r="AB66" s="59"/>
      <c r="AC66" s="59"/>
      <c r="AD66" s="59"/>
      <c r="AE66" s="239">
        <f t="shared" si="36"/>
        <v>153800.01</v>
      </c>
      <c r="AF66" s="239">
        <v>33492</v>
      </c>
      <c r="AG66" s="22"/>
      <c r="AH66" s="40"/>
      <c r="AI66" s="22"/>
      <c r="AJ66" s="22"/>
      <c r="AK66" s="22"/>
      <c r="AL66" s="22"/>
      <c r="AM66" s="22"/>
    </row>
    <row r="67" spans="1:39" ht="13.5" thickBot="1" x14ac:dyDescent="0.25">
      <c r="A67" s="14">
        <v>13</v>
      </c>
      <c r="B67" s="20">
        <v>156320.63</v>
      </c>
      <c r="C67" s="20">
        <v>190711.18</v>
      </c>
      <c r="D67" s="20">
        <f>+B67</f>
        <v>156320.63</v>
      </c>
      <c r="E67" s="20">
        <f t="shared" si="45"/>
        <v>190711.18</v>
      </c>
      <c r="F67" s="217"/>
      <c r="G67" s="217"/>
      <c r="H67" s="217"/>
      <c r="I67" s="217"/>
      <c r="J67" s="217"/>
      <c r="K67" s="217"/>
      <c r="L67" s="217"/>
      <c r="M67" s="217"/>
      <c r="N67" s="217"/>
      <c r="O67" s="217"/>
      <c r="P67" s="217"/>
      <c r="Q67" s="217"/>
      <c r="R67" s="217"/>
      <c r="S67" s="217"/>
      <c r="T67" s="217"/>
      <c r="U67" s="217"/>
      <c r="V67" s="217"/>
      <c r="W67" s="217"/>
      <c r="X67" s="217"/>
      <c r="Y67" s="218"/>
      <c r="Z67" s="59"/>
      <c r="AA67" s="59"/>
      <c r="AB67" s="59"/>
      <c r="AC67" s="59"/>
      <c r="AD67" s="59"/>
      <c r="AE67" s="239">
        <f t="shared" si="36"/>
        <v>153900.01</v>
      </c>
      <c r="AF67" s="239">
        <v>33281</v>
      </c>
      <c r="AG67" s="22"/>
      <c r="AH67" s="40"/>
      <c r="AI67" s="22"/>
      <c r="AJ67" s="22"/>
      <c r="AK67" s="22"/>
      <c r="AL67" s="22"/>
      <c r="AM67" s="22"/>
    </row>
    <row r="68" spans="1:39" ht="13.5" thickBot="1" x14ac:dyDescent="0.25">
      <c r="A68" s="217"/>
      <c r="B68" s="343" t="s">
        <v>86</v>
      </c>
      <c r="C68" s="344"/>
      <c r="D68" s="344"/>
      <c r="E68" s="344"/>
      <c r="F68" s="344"/>
      <c r="G68" s="344"/>
      <c r="H68" s="344"/>
      <c r="I68" s="344"/>
      <c r="J68" s="344"/>
      <c r="K68" s="344"/>
      <c r="L68" s="344"/>
      <c r="M68" s="344"/>
      <c r="N68" s="344"/>
      <c r="O68" s="344"/>
      <c r="P68" s="345"/>
      <c r="Q68" s="217"/>
      <c r="R68" s="217"/>
      <c r="S68" s="217"/>
      <c r="T68" s="217"/>
      <c r="U68" s="217"/>
      <c r="V68" s="217"/>
      <c r="W68" s="217"/>
      <c r="X68" s="217"/>
      <c r="Y68" s="218"/>
      <c r="Z68" s="59"/>
      <c r="AA68" s="59"/>
      <c r="AB68" s="59"/>
      <c r="AC68" s="59"/>
      <c r="AD68" s="59"/>
      <c r="AE68" s="239">
        <f t="shared" si="36"/>
        <v>154000.01</v>
      </c>
      <c r="AF68" s="239">
        <v>33070</v>
      </c>
      <c r="AG68" s="22"/>
      <c r="AH68" s="40"/>
      <c r="AI68" s="22"/>
      <c r="AJ68" s="22"/>
      <c r="AK68" s="22"/>
      <c r="AL68" s="22"/>
      <c r="AM68" s="22"/>
    </row>
    <row r="69" spans="1:39" x14ac:dyDescent="0.2">
      <c r="A69" s="14" t="s">
        <v>29</v>
      </c>
      <c r="B69" s="227">
        <v>1</v>
      </c>
      <c r="C69" s="227">
        <v>2</v>
      </c>
      <c r="D69" s="227">
        <v>3</v>
      </c>
      <c r="E69" s="227">
        <v>4</v>
      </c>
      <c r="F69" s="227">
        <v>5</v>
      </c>
      <c r="G69" s="227">
        <v>6</v>
      </c>
      <c r="H69" s="227">
        <v>7</v>
      </c>
      <c r="I69" s="227">
        <v>8</v>
      </c>
      <c r="J69" s="227">
        <v>9</v>
      </c>
      <c r="K69" s="227">
        <v>10</v>
      </c>
      <c r="L69" s="227">
        <v>11</v>
      </c>
      <c r="M69" s="227">
        <v>12</v>
      </c>
      <c r="N69" s="227">
        <v>13</v>
      </c>
      <c r="O69" s="227">
        <v>14</v>
      </c>
      <c r="P69" s="227">
        <v>15</v>
      </c>
      <c r="Q69" s="217"/>
      <c r="R69" s="217"/>
      <c r="S69" s="217"/>
      <c r="T69" s="217"/>
      <c r="U69" s="217"/>
      <c r="V69" s="217"/>
      <c r="W69" s="217"/>
      <c r="X69" s="217"/>
      <c r="Y69" s="218"/>
      <c r="Z69" s="59"/>
      <c r="AA69" s="59"/>
      <c r="AB69" s="59"/>
      <c r="AC69" s="59"/>
      <c r="AD69" s="59"/>
      <c r="AE69" s="239">
        <f t="shared" si="36"/>
        <v>154100.01</v>
      </c>
      <c r="AF69" s="239">
        <v>32860</v>
      </c>
      <c r="AG69" s="22"/>
      <c r="AH69" s="40"/>
      <c r="AI69" s="22"/>
      <c r="AJ69" s="22"/>
      <c r="AK69" s="22"/>
      <c r="AL69" s="22"/>
      <c r="AM69" s="22"/>
    </row>
    <row r="70" spans="1:39" x14ac:dyDescent="0.2">
      <c r="A70" s="14">
        <v>0</v>
      </c>
      <c r="B70" s="20">
        <v>0</v>
      </c>
      <c r="C70" s="20">
        <f>+C54/2</f>
        <v>0</v>
      </c>
      <c r="D70" s="20">
        <f>+D54/2</f>
        <v>0</v>
      </c>
      <c r="E70" s="20">
        <f>+C70</f>
        <v>0</v>
      </c>
      <c r="F70" s="217"/>
      <c r="G70" s="217"/>
      <c r="H70" s="217"/>
      <c r="I70" s="217"/>
      <c r="J70" s="217"/>
      <c r="K70" s="217"/>
      <c r="L70" s="217"/>
      <c r="M70" s="217"/>
      <c r="N70" s="217"/>
      <c r="O70" s="217"/>
      <c r="P70" s="217"/>
      <c r="Q70" s="217"/>
      <c r="R70" s="217"/>
      <c r="S70" s="217"/>
      <c r="T70" s="217"/>
      <c r="U70" s="217"/>
      <c r="V70" s="217"/>
      <c r="W70" s="217"/>
      <c r="X70" s="217"/>
      <c r="Y70" s="218"/>
      <c r="Z70" s="59"/>
      <c r="AA70" s="59"/>
      <c r="AB70" s="59"/>
      <c r="AC70" s="59"/>
      <c r="AD70" s="59"/>
      <c r="AE70" s="239">
        <f t="shared" si="36"/>
        <v>154200.01</v>
      </c>
      <c r="AF70" s="239">
        <v>32651</v>
      </c>
      <c r="AG70" s="22"/>
      <c r="AH70" s="40"/>
      <c r="AI70" s="22"/>
      <c r="AJ70" s="22"/>
      <c r="AK70" s="22"/>
      <c r="AL70" s="22"/>
      <c r="AM70" s="22"/>
    </row>
    <row r="71" spans="1:39" x14ac:dyDescent="0.2">
      <c r="A71" s="14">
        <v>1</v>
      </c>
      <c r="B71" s="13">
        <f t="shared" ref="B71:B81" si="46">+ROUND(B$83/12*$A71,2)</f>
        <v>6569.42</v>
      </c>
      <c r="C71" s="13">
        <f t="shared" ref="C71:D81" si="47">+ROUND(C$83/12*$A71,2)</f>
        <v>8014.7</v>
      </c>
      <c r="D71" s="13">
        <f t="shared" si="47"/>
        <v>6569.42</v>
      </c>
      <c r="E71" s="20">
        <f>+C71</f>
        <v>8014.7</v>
      </c>
      <c r="F71" s="217"/>
      <c r="G71" s="217"/>
      <c r="H71" s="217"/>
      <c r="I71" s="217"/>
      <c r="J71" s="217"/>
      <c r="K71" s="217"/>
      <c r="L71" s="217"/>
      <c r="M71" s="217"/>
      <c r="N71" s="217"/>
      <c r="O71" s="217"/>
      <c r="P71" s="217"/>
      <c r="Q71" s="217"/>
      <c r="R71" s="217"/>
      <c r="S71" s="217"/>
      <c r="T71" s="217"/>
      <c r="U71" s="217"/>
      <c r="V71" s="217"/>
      <c r="W71" s="217"/>
      <c r="X71" s="217"/>
      <c r="Y71" s="218"/>
      <c r="Z71" s="59"/>
      <c r="AA71" s="59"/>
      <c r="AB71" s="59"/>
      <c r="AC71" s="59"/>
      <c r="AD71" s="59"/>
      <c r="AE71" s="239">
        <f t="shared" si="36"/>
        <v>154300.01</v>
      </c>
      <c r="AF71" s="239">
        <v>32443</v>
      </c>
      <c r="AG71" s="22"/>
      <c r="AH71" s="40"/>
      <c r="AI71" s="22"/>
      <c r="AJ71" s="22"/>
      <c r="AK71" s="22"/>
      <c r="AL71" s="22"/>
      <c r="AM71" s="22"/>
    </row>
    <row r="72" spans="1:39" x14ac:dyDescent="0.2">
      <c r="A72" s="14">
        <v>2</v>
      </c>
      <c r="B72" s="13">
        <f t="shared" si="46"/>
        <v>13138.85</v>
      </c>
      <c r="C72" s="13">
        <f t="shared" si="47"/>
        <v>16029.39</v>
      </c>
      <c r="D72" s="13">
        <f t="shared" si="47"/>
        <v>13138.85</v>
      </c>
      <c r="E72" s="20">
        <f t="shared" ref="E72:E83" si="48">+C72</f>
        <v>16029.39</v>
      </c>
      <c r="F72" s="217"/>
      <c r="G72" s="217"/>
      <c r="H72" s="217"/>
      <c r="I72" s="217"/>
      <c r="J72" s="217"/>
      <c r="K72" s="217"/>
      <c r="L72" s="217"/>
      <c r="M72" s="217"/>
      <c r="N72" s="217"/>
      <c r="O72" s="217"/>
      <c r="P72" s="217"/>
      <c r="Q72" s="217"/>
      <c r="R72" s="217"/>
      <c r="S72" s="217"/>
      <c r="T72" s="217"/>
      <c r="U72" s="217"/>
      <c r="V72" s="217"/>
      <c r="W72" s="217"/>
      <c r="X72" s="217"/>
      <c r="Y72" s="218"/>
      <c r="Z72" s="59"/>
      <c r="AA72" s="59"/>
      <c r="AB72" s="59"/>
      <c r="AC72" s="59"/>
      <c r="AD72" s="59"/>
      <c r="AE72" s="239">
        <f t="shared" si="36"/>
        <v>154400.01</v>
      </c>
      <c r="AF72" s="239">
        <v>32236</v>
      </c>
      <c r="AG72" s="22"/>
      <c r="AH72" s="40"/>
      <c r="AI72" s="22"/>
      <c r="AJ72" s="22"/>
      <c r="AK72" s="22"/>
      <c r="AL72" s="22"/>
      <c r="AM72" s="22"/>
    </row>
    <row r="73" spans="1:39" x14ac:dyDescent="0.2">
      <c r="A73" s="14">
        <v>3</v>
      </c>
      <c r="B73" s="13">
        <f t="shared" si="46"/>
        <v>19708.27</v>
      </c>
      <c r="C73" s="13">
        <f t="shared" si="47"/>
        <v>24044.09</v>
      </c>
      <c r="D73" s="13">
        <f t="shared" si="47"/>
        <v>19708.27</v>
      </c>
      <c r="E73" s="20">
        <f t="shared" si="48"/>
        <v>24044.09</v>
      </c>
      <c r="F73" s="217"/>
      <c r="G73" s="217"/>
      <c r="H73" s="217"/>
      <c r="I73" s="217"/>
      <c r="J73" s="217"/>
      <c r="K73" s="217"/>
      <c r="L73" s="217"/>
      <c r="M73" s="217"/>
      <c r="N73" s="217"/>
      <c r="O73" s="217"/>
      <c r="P73" s="217"/>
      <c r="Q73" s="217"/>
      <c r="R73" s="217"/>
      <c r="S73" s="217"/>
      <c r="T73" s="217"/>
      <c r="U73" s="217"/>
      <c r="V73" s="217"/>
      <c r="W73" s="217"/>
      <c r="X73" s="217"/>
      <c r="Y73" s="218"/>
      <c r="Z73" s="59"/>
      <c r="AA73" s="59"/>
      <c r="AB73" s="59"/>
      <c r="AC73" s="59"/>
      <c r="AD73" s="59"/>
      <c r="AE73" s="239">
        <f t="shared" si="36"/>
        <v>154500.01</v>
      </c>
      <c r="AF73" s="239">
        <v>32029</v>
      </c>
      <c r="AG73" s="22"/>
      <c r="AH73" s="40"/>
      <c r="AI73" s="22"/>
      <c r="AJ73" s="22"/>
      <c r="AK73" s="22"/>
      <c r="AL73" s="22"/>
      <c r="AM73" s="22"/>
    </row>
    <row r="74" spans="1:39" x14ac:dyDescent="0.2">
      <c r="A74" s="14">
        <v>4</v>
      </c>
      <c r="B74" s="13">
        <f t="shared" si="46"/>
        <v>26277.69</v>
      </c>
      <c r="C74" s="13">
        <f t="shared" si="47"/>
        <v>32058.79</v>
      </c>
      <c r="D74" s="13">
        <f t="shared" si="47"/>
        <v>26277.69</v>
      </c>
      <c r="E74" s="20">
        <f t="shared" si="48"/>
        <v>32058.79</v>
      </c>
      <c r="F74" s="217"/>
      <c r="G74" s="217"/>
      <c r="H74" s="217"/>
      <c r="I74" s="217"/>
      <c r="J74" s="217"/>
      <c r="K74" s="217"/>
      <c r="L74" s="217"/>
      <c r="M74" s="217"/>
      <c r="N74" s="217"/>
      <c r="O74" s="217"/>
      <c r="P74" s="217"/>
      <c r="Q74" s="217"/>
      <c r="R74" s="217"/>
      <c r="S74" s="217"/>
      <c r="T74" s="217"/>
      <c r="U74" s="217"/>
      <c r="V74" s="217"/>
      <c r="W74" s="217"/>
      <c r="X74" s="217"/>
      <c r="Y74" s="218"/>
      <c r="Z74" s="59"/>
      <c r="AA74" s="59"/>
      <c r="AB74" s="59"/>
      <c r="AC74" s="59"/>
      <c r="AD74" s="59"/>
      <c r="AE74" s="239">
        <f t="shared" si="36"/>
        <v>154600.01</v>
      </c>
      <c r="AF74" s="239">
        <v>31824</v>
      </c>
      <c r="AG74" s="22"/>
      <c r="AH74" s="40"/>
      <c r="AI74" s="22"/>
      <c r="AJ74" s="22"/>
      <c r="AK74" s="22"/>
      <c r="AL74" s="22"/>
      <c r="AM74" s="22"/>
    </row>
    <row r="75" spans="1:39" x14ac:dyDescent="0.2">
      <c r="A75" s="14">
        <v>5</v>
      </c>
      <c r="B75" s="13">
        <f t="shared" si="46"/>
        <v>32847.120000000003</v>
      </c>
      <c r="C75" s="13">
        <f t="shared" si="47"/>
        <v>40073.480000000003</v>
      </c>
      <c r="D75" s="13">
        <f t="shared" si="47"/>
        <v>32847.120000000003</v>
      </c>
      <c r="E75" s="20">
        <f t="shared" si="48"/>
        <v>40073.480000000003</v>
      </c>
      <c r="F75" s="217"/>
      <c r="G75" s="217"/>
      <c r="H75" s="217"/>
      <c r="I75" s="217"/>
      <c r="J75" s="217"/>
      <c r="K75" s="217"/>
      <c r="L75" s="217"/>
      <c r="M75" s="217"/>
      <c r="N75" s="217"/>
      <c r="O75" s="217"/>
      <c r="P75" s="217"/>
      <c r="Q75" s="217"/>
      <c r="R75" s="217"/>
      <c r="S75" s="217"/>
      <c r="T75" s="217"/>
      <c r="U75" s="217"/>
      <c r="V75" s="217"/>
      <c r="W75" s="217"/>
      <c r="X75" s="217"/>
      <c r="Y75" s="218"/>
      <c r="Z75" s="59"/>
      <c r="AA75" s="59"/>
      <c r="AB75" s="59"/>
      <c r="AC75" s="59"/>
      <c r="AD75" s="59"/>
      <c r="AE75" s="239">
        <f t="shared" si="36"/>
        <v>154700.01</v>
      </c>
      <c r="AF75" s="239">
        <v>31618</v>
      </c>
      <c r="AG75" s="22"/>
      <c r="AH75" s="40"/>
      <c r="AI75" s="22"/>
      <c r="AJ75" s="22"/>
      <c r="AK75" s="22"/>
      <c r="AL75" s="22"/>
      <c r="AM75" s="22"/>
    </row>
    <row r="76" spans="1:39" x14ac:dyDescent="0.2">
      <c r="A76" s="14">
        <v>6</v>
      </c>
      <c r="B76" s="13">
        <f t="shared" si="46"/>
        <v>39416.54</v>
      </c>
      <c r="C76" s="13">
        <f t="shared" si="47"/>
        <v>48088.18</v>
      </c>
      <c r="D76" s="13">
        <f t="shared" si="47"/>
        <v>39416.54</v>
      </c>
      <c r="E76" s="20">
        <f t="shared" si="48"/>
        <v>48088.18</v>
      </c>
      <c r="F76" s="217"/>
      <c r="G76" s="217"/>
      <c r="H76" s="217"/>
      <c r="I76" s="217"/>
      <c r="J76" s="217"/>
      <c r="K76" s="217"/>
      <c r="L76" s="217"/>
      <c r="M76" s="217"/>
      <c r="N76" s="217"/>
      <c r="O76" s="217"/>
      <c r="P76" s="217"/>
      <c r="Q76" s="217"/>
      <c r="R76" s="217"/>
      <c r="S76" s="217"/>
      <c r="T76" s="217"/>
      <c r="U76" s="217"/>
      <c r="V76" s="217"/>
      <c r="W76" s="217"/>
      <c r="X76" s="217"/>
      <c r="Y76" s="218"/>
      <c r="Z76" s="59"/>
      <c r="AA76" s="59"/>
      <c r="AB76" s="59"/>
      <c r="AC76" s="59"/>
      <c r="AD76" s="59"/>
      <c r="AE76" s="239">
        <f t="shared" si="36"/>
        <v>154800.01</v>
      </c>
      <c r="AF76" s="239">
        <v>31414</v>
      </c>
      <c r="AG76" s="22"/>
      <c r="AH76" s="40"/>
      <c r="AI76" s="22"/>
      <c r="AJ76" s="22"/>
      <c r="AK76" s="22"/>
      <c r="AL76" s="22"/>
      <c r="AM76" s="22"/>
    </row>
    <row r="77" spans="1:39" x14ac:dyDescent="0.2">
      <c r="A77" s="14">
        <v>7</v>
      </c>
      <c r="B77" s="13">
        <f t="shared" si="46"/>
        <v>45985.96</v>
      </c>
      <c r="C77" s="13">
        <f t="shared" si="47"/>
        <v>56102.879999999997</v>
      </c>
      <c r="D77" s="13">
        <f t="shared" si="47"/>
        <v>45985.96</v>
      </c>
      <c r="E77" s="20">
        <f t="shared" si="48"/>
        <v>56102.879999999997</v>
      </c>
      <c r="F77" s="217"/>
      <c r="G77" s="217"/>
      <c r="H77" s="217"/>
      <c r="I77" s="217"/>
      <c r="J77" s="217"/>
      <c r="K77" s="217"/>
      <c r="L77" s="217"/>
      <c r="M77" s="217"/>
      <c r="N77" s="217"/>
      <c r="O77" s="217"/>
      <c r="P77" s="217"/>
      <c r="Q77" s="217"/>
      <c r="R77" s="217"/>
      <c r="S77" s="217"/>
      <c r="T77" s="217"/>
      <c r="U77" s="217"/>
      <c r="V77" s="217"/>
      <c r="W77" s="217"/>
      <c r="X77" s="217"/>
      <c r="Y77" s="218"/>
      <c r="Z77" s="59"/>
      <c r="AA77" s="59"/>
      <c r="AB77" s="59"/>
      <c r="AC77" s="59"/>
      <c r="AD77" s="59"/>
      <c r="AE77" s="239">
        <f t="shared" si="36"/>
        <v>154900.01</v>
      </c>
      <c r="AF77" s="239">
        <v>31211</v>
      </c>
      <c r="AG77" s="22"/>
      <c r="AH77" s="40"/>
      <c r="AI77" s="22"/>
      <c r="AJ77" s="22"/>
      <c r="AK77" s="22"/>
      <c r="AL77" s="22"/>
      <c r="AM77" s="22"/>
    </row>
    <row r="78" spans="1:39" x14ac:dyDescent="0.2">
      <c r="A78" s="14">
        <v>8</v>
      </c>
      <c r="B78" s="13">
        <f t="shared" si="46"/>
        <v>52555.39</v>
      </c>
      <c r="C78" s="13">
        <f t="shared" si="47"/>
        <v>64117.57</v>
      </c>
      <c r="D78" s="13">
        <f t="shared" si="47"/>
        <v>52555.39</v>
      </c>
      <c r="E78" s="20">
        <f t="shared" si="48"/>
        <v>64117.57</v>
      </c>
      <c r="F78" s="217"/>
      <c r="G78" s="217"/>
      <c r="H78" s="217"/>
      <c r="I78" s="217"/>
      <c r="J78" s="217"/>
      <c r="K78" s="217"/>
      <c r="L78" s="217"/>
      <c r="M78" s="217"/>
      <c r="N78" s="217"/>
      <c r="O78" s="217"/>
      <c r="P78" s="217"/>
      <c r="Q78" s="217"/>
      <c r="R78" s="217"/>
      <c r="S78" s="217"/>
      <c r="T78" s="217"/>
      <c r="U78" s="217"/>
      <c r="V78" s="217"/>
      <c r="W78" s="217"/>
      <c r="X78" s="217"/>
      <c r="Y78" s="218"/>
      <c r="Z78" s="59"/>
      <c r="AA78" s="59"/>
      <c r="AB78" s="59"/>
      <c r="AC78" s="59"/>
      <c r="AD78" s="59"/>
      <c r="AE78" s="239">
        <f t="shared" si="36"/>
        <v>155000.01</v>
      </c>
      <c r="AF78" s="239">
        <v>31008</v>
      </c>
      <c r="AG78" s="22"/>
      <c r="AH78" s="40"/>
      <c r="AI78" s="22"/>
      <c r="AJ78" s="22"/>
      <c r="AK78" s="22"/>
      <c r="AL78" s="22"/>
      <c r="AM78" s="22"/>
    </row>
    <row r="79" spans="1:39" x14ac:dyDescent="0.2">
      <c r="A79" s="14">
        <v>9</v>
      </c>
      <c r="B79" s="13">
        <f t="shared" si="46"/>
        <v>59124.81</v>
      </c>
      <c r="C79" s="13">
        <f t="shared" si="47"/>
        <v>72132.27</v>
      </c>
      <c r="D79" s="13">
        <f t="shared" si="47"/>
        <v>59124.81</v>
      </c>
      <c r="E79" s="20">
        <f t="shared" si="48"/>
        <v>72132.27</v>
      </c>
      <c r="F79" s="217"/>
      <c r="G79" s="217"/>
      <c r="H79" s="217"/>
      <c r="I79" s="217"/>
      <c r="J79" s="217"/>
      <c r="K79" s="217"/>
      <c r="L79" s="217"/>
      <c r="M79" s="217"/>
      <c r="N79" s="217"/>
      <c r="O79" s="217"/>
      <c r="P79" s="217"/>
      <c r="Q79" s="217"/>
      <c r="R79" s="217"/>
      <c r="S79" s="217"/>
      <c r="T79" s="217"/>
      <c r="U79" s="217"/>
      <c r="V79" s="217"/>
      <c r="W79" s="217"/>
      <c r="X79" s="217"/>
      <c r="Y79" s="218"/>
      <c r="Z79" s="59"/>
      <c r="AA79" s="59"/>
      <c r="AB79" s="59"/>
      <c r="AC79" s="59"/>
      <c r="AD79" s="59"/>
      <c r="AE79" s="239">
        <f t="shared" si="36"/>
        <v>155100.01</v>
      </c>
      <c r="AF79" s="239">
        <v>30805</v>
      </c>
      <c r="AG79" s="22"/>
      <c r="AH79" s="40"/>
      <c r="AI79" s="22"/>
      <c r="AJ79" s="22"/>
      <c r="AK79" s="22"/>
      <c r="AL79" s="22"/>
      <c r="AM79" s="22"/>
    </row>
    <row r="80" spans="1:39" x14ac:dyDescent="0.2">
      <c r="A80" s="14">
        <v>10</v>
      </c>
      <c r="B80" s="13">
        <f t="shared" si="46"/>
        <v>65694.23</v>
      </c>
      <c r="C80" s="13">
        <f t="shared" si="47"/>
        <v>80146.97</v>
      </c>
      <c r="D80" s="13">
        <f t="shared" si="47"/>
        <v>65694.23</v>
      </c>
      <c r="E80" s="20">
        <f t="shared" si="48"/>
        <v>80146.97</v>
      </c>
      <c r="F80" s="217"/>
      <c r="G80" s="217"/>
      <c r="H80" s="217"/>
      <c r="I80" s="217"/>
      <c r="J80" s="217"/>
      <c r="K80" s="217"/>
      <c r="L80" s="217"/>
      <c r="M80" s="217"/>
      <c r="N80" s="217"/>
      <c r="O80" s="217"/>
      <c r="P80" s="217"/>
      <c r="Q80" s="217"/>
      <c r="R80" s="217"/>
      <c r="S80" s="217"/>
      <c r="T80" s="217"/>
      <c r="U80" s="217"/>
      <c r="V80" s="217"/>
      <c r="W80" s="217"/>
      <c r="X80" s="217"/>
      <c r="Y80" s="218"/>
      <c r="Z80" s="59"/>
      <c r="AA80" s="59"/>
      <c r="AB80" s="59"/>
      <c r="AC80" s="59"/>
      <c r="AD80" s="59"/>
      <c r="AE80" s="239">
        <f t="shared" si="36"/>
        <v>155200.01</v>
      </c>
      <c r="AF80" s="239">
        <v>30604</v>
      </c>
      <c r="AG80" s="22"/>
      <c r="AH80" s="40"/>
      <c r="AI80" s="22"/>
      <c r="AJ80" s="22"/>
      <c r="AK80" s="22"/>
      <c r="AL80" s="22"/>
      <c r="AM80" s="22"/>
    </row>
    <row r="81" spans="1:39" x14ac:dyDescent="0.2">
      <c r="A81" s="14">
        <v>11</v>
      </c>
      <c r="B81" s="13">
        <f t="shared" si="46"/>
        <v>72263.66</v>
      </c>
      <c r="C81" s="13">
        <f t="shared" si="47"/>
        <v>88161.66</v>
      </c>
      <c r="D81" s="13">
        <f t="shared" si="47"/>
        <v>72263.66</v>
      </c>
      <c r="E81" s="20">
        <f t="shared" si="48"/>
        <v>88161.66</v>
      </c>
      <c r="F81" s="217"/>
      <c r="G81" s="217"/>
      <c r="H81" s="217"/>
      <c r="I81" s="217"/>
      <c r="J81" s="217"/>
      <c r="K81" s="217"/>
      <c r="L81" s="217"/>
      <c r="M81" s="217"/>
      <c r="N81" s="217"/>
      <c r="O81" s="217"/>
      <c r="P81" s="217"/>
      <c r="Q81" s="217"/>
      <c r="R81" s="217"/>
      <c r="S81" s="217"/>
      <c r="T81" s="217"/>
      <c r="U81" s="217"/>
      <c r="V81" s="217"/>
      <c r="W81" s="217"/>
      <c r="X81" s="217"/>
      <c r="Y81" s="218"/>
      <c r="Z81" s="59"/>
      <c r="AA81" s="59"/>
      <c r="AB81" s="59"/>
      <c r="AC81" s="59"/>
      <c r="AD81" s="59"/>
      <c r="AE81" s="239">
        <f t="shared" si="36"/>
        <v>155300.01</v>
      </c>
      <c r="AF81" s="239">
        <v>30403</v>
      </c>
      <c r="AG81" s="22"/>
      <c r="AH81" s="40"/>
      <c r="AI81" s="22"/>
      <c r="AJ81" s="22"/>
      <c r="AK81" s="22"/>
      <c r="AL81" s="22"/>
      <c r="AM81" s="22"/>
    </row>
    <row r="82" spans="1:39" x14ac:dyDescent="0.2">
      <c r="A82" s="14">
        <v>12</v>
      </c>
      <c r="B82" s="20">
        <f>+B83</f>
        <v>78833.08</v>
      </c>
      <c r="C82" s="20">
        <f>+ROUND(B82*1.22,2)</f>
        <v>96176.36</v>
      </c>
      <c r="D82" s="20">
        <f>+B82</f>
        <v>78833.08</v>
      </c>
      <c r="E82" s="20">
        <f t="shared" si="48"/>
        <v>96176.36</v>
      </c>
      <c r="F82" s="217"/>
      <c r="G82" s="217"/>
      <c r="H82" s="217"/>
      <c r="I82" s="217"/>
      <c r="J82" s="217"/>
      <c r="K82" s="217"/>
      <c r="L82" s="217"/>
      <c r="M82" s="217"/>
      <c r="N82" s="217"/>
      <c r="O82" s="217"/>
      <c r="P82" s="217"/>
      <c r="Q82" s="217"/>
      <c r="R82" s="217"/>
      <c r="S82" s="217"/>
      <c r="T82" s="217"/>
      <c r="U82" s="217"/>
      <c r="V82" s="217"/>
      <c r="W82" s="217"/>
      <c r="X82" s="217"/>
      <c r="Y82" s="218"/>
      <c r="Z82" s="59"/>
      <c r="AA82" s="59"/>
      <c r="AB82" s="59"/>
      <c r="AC82" s="59"/>
      <c r="AD82" s="59"/>
      <c r="AE82" s="239">
        <f t="shared" si="36"/>
        <v>155400.01</v>
      </c>
      <c r="AF82" s="239">
        <v>30203</v>
      </c>
      <c r="AG82" s="22"/>
      <c r="AH82" s="40"/>
      <c r="AI82" s="22"/>
      <c r="AJ82" s="22"/>
      <c r="AK82" s="22"/>
      <c r="AL82" s="22"/>
      <c r="AM82" s="22"/>
    </row>
    <row r="83" spans="1:39" x14ac:dyDescent="0.2">
      <c r="A83" s="14">
        <v>13</v>
      </c>
      <c r="B83" s="20">
        <v>78833.08</v>
      </c>
      <c r="C83" s="20">
        <f>+C82</f>
        <v>96176.36</v>
      </c>
      <c r="D83" s="20">
        <f>+D82</f>
        <v>78833.08</v>
      </c>
      <c r="E83" s="20">
        <f t="shared" si="48"/>
        <v>96176.36</v>
      </c>
      <c r="F83" s="217"/>
      <c r="G83" s="217"/>
      <c r="H83" s="217"/>
      <c r="I83" s="217"/>
      <c r="J83" s="217"/>
      <c r="K83" s="217"/>
      <c r="L83" s="217"/>
      <c r="M83" s="217"/>
      <c r="N83" s="217"/>
      <c r="O83" s="217"/>
      <c r="P83" s="217"/>
      <c r="Q83" s="217"/>
      <c r="R83" s="217"/>
      <c r="S83" s="217"/>
      <c r="T83" s="217"/>
      <c r="U83" s="217"/>
      <c r="V83" s="217"/>
      <c r="W83" s="217"/>
      <c r="X83" s="217"/>
      <c r="Y83" s="218"/>
      <c r="Z83" s="59"/>
      <c r="AA83" s="59"/>
      <c r="AB83" s="59"/>
      <c r="AC83" s="59"/>
      <c r="AD83" s="59"/>
      <c r="AE83" s="239">
        <f t="shared" si="36"/>
        <v>155500.01</v>
      </c>
      <c r="AF83" s="239">
        <v>30003</v>
      </c>
      <c r="AG83" s="22"/>
      <c r="AH83" s="40"/>
      <c r="AI83" s="22"/>
      <c r="AJ83" s="22"/>
      <c r="AK83" s="22"/>
      <c r="AL83" s="22"/>
      <c r="AM83" s="22"/>
    </row>
    <row r="84" spans="1:39" x14ac:dyDescent="0.2">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8"/>
      <c r="Z84" s="59"/>
      <c r="AA84" s="59"/>
      <c r="AB84" s="59"/>
      <c r="AC84" s="59"/>
      <c r="AD84" s="59"/>
      <c r="AE84" s="239">
        <f t="shared" si="36"/>
        <v>155600.01</v>
      </c>
      <c r="AF84" s="239">
        <v>29804</v>
      </c>
      <c r="AG84" s="22"/>
      <c r="AH84" s="40"/>
      <c r="AI84" s="22"/>
      <c r="AJ84" s="22"/>
      <c r="AK84" s="22"/>
      <c r="AL84" s="22"/>
      <c r="AM84" s="22"/>
    </row>
    <row r="85" spans="1:39" x14ac:dyDescent="0.2">
      <c r="A85" s="25" t="s">
        <v>55</v>
      </c>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8"/>
      <c r="Z85" s="59"/>
      <c r="AA85" s="59"/>
      <c r="AB85" s="59"/>
      <c r="AC85" s="59"/>
      <c r="AD85" s="59"/>
      <c r="AE85" s="239">
        <f t="shared" si="36"/>
        <v>155700.01</v>
      </c>
      <c r="AF85" s="239">
        <v>29605</v>
      </c>
      <c r="AG85" s="22"/>
      <c r="AH85" s="40"/>
      <c r="AI85" s="22"/>
      <c r="AJ85" s="22"/>
      <c r="AK85" s="22"/>
      <c r="AL85" s="22"/>
      <c r="AM85" s="22"/>
    </row>
    <row r="86" spans="1:39" x14ac:dyDescent="0.2">
      <c r="A86" s="25" t="s">
        <v>88</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8"/>
      <c r="Z86" s="59"/>
      <c r="AA86" s="59"/>
      <c r="AB86" s="59"/>
      <c r="AC86" s="59"/>
      <c r="AD86" s="59"/>
      <c r="AE86" s="239">
        <f t="shared" si="36"/>
        <v>155800.01</v>
      </c>
      <c r="AF86" s="239">
        <v>29407</v>
      </c>
      <c r="AG86" s="22"/>
      <c r="AH86" s="40"/>
      <c r="AI86" s="22"/>
      <c r="AJ86" s="22"/>
      <c r="AK86" s="22"/>
      <c r="AL86" s="22"/>
      <c r="AM86" s="22"/>
    </row>
    <row r="87" spans="1:39" x14ac:dyDescent="0.2">
      <c r="A87" s="213"/>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39">
        <f t="shared" si="36"/>
        <v>155900.01</v>
      </c>
      <c r="AF87" s="239">
        <v>29210</v>
      </c>
      <c r="AG87" s="22"/>
      <c r="AH87" s="22"/>
      <c r="AI87" s="22"/>
      <c r="AJ87" s="22"/>
      <c r="AK87" s="22"/>
      <c r="AL87" s="22"/>
      <c r="AM87" s="22"/>
    </row>
    <row r="88" spans="1:39" x14ac:dyDescent="0.2">
      <c r="A88" s="22" t="s">
        <v>235</v>
      </c>
      <c r="B88" s="98"/>
      <c r="C88" s="98"/>
      <c r="D88" s="230" t="s">
        <v>237</v>
      </c>
      <c r="E88" s="98"/>
      <c r="F88" s="98" t="s">
        <v>239</v>
      </c>
      <c r="G88" s="22"/>
      <c r="H88" s="22"/>
      <c r="I88" s="22"/>
      <c r="J88" s="21"/>
      <c r="K88" s="21"/>
      <c r="L88" s="21"/>
      <c r="M88" s="22"/>
      <c r="N88" s="22"/>
      <c r="O88" s="22"/>
      <c r="P88" s="22"/>
      <c r="Q88" s="22"/>
      <c r="R88" s="22"/>
      <c r="S88" s="22"/>
      <c r="T88" s="22"/>
      <c r="U88" s="22"/>
      <c r="V88" s="22"/>
      <c r="W88" s="22"/>
      <c r="X88" s="22"/>
      <c r="Y88" s="22"/>
      <c r="Z88" s="22"/>
      <c r="AA88" s="22"/>
      <c r="AB88" s="22"/>
      <c r="AC88" s="22"/>
      <c r="AD88" s="22"/>
      <c r="AE88" s="239">
        <f t="shared" si="36"/>
        <v>156000.01</v>
      </c>
      <c r="AF88" s="239">
        <v>29013</v>
      </c>
      <c r="AG88" s="22"/>
      <c r="AH88" s="22"/>
      <c r="AI88" s="22"/>
      <c r="AJ88" s="22"/>
      <c r="AK88" s="22"/>
      <c r="AL88" s="22"/>
      <c r="AM88" s="22"/>
    </row>
    <row r="89" spans="1:39" x14ac:dyDescent="0.2">
      <c r="A89" s="14"/>
      <c r="B89" s="14"/>
      <c r="C89" s="14"/>
      <c r="D89" s="231" t="s">
        <v>236</v>
      </c>
      <c r="E89" s="14"/>
      <c r="F89" s="14" t="s">
        <v>238</v>
      </c>
      <c r="G89" s="22"/>
      <c r="H89" s="232"/>
      <c r="I89" s="232"/>
      <c r="J89" s="232"/>
      <c r="K89" s="232"/>
      <c r="L89" s="232"/>
      <c r="M89" s="22"/>
      <c r="N89" s="22"/>
      <c r="O89" s="22"/>
      <c r="P89" s="22"/>
      <c r="Q89" s="22"/>
      <c r="R89" s="22"/>
      <c r="S89" s="22"/>
      <c r="T89" s="22"/>
      <c r="U89" s="22"/>
      <c r="V89" s="22"/>
      <c r="W89" s="22"/>
      <c r="X89" s="22"/>
      <c r="Y89" s="22"/>
      <c r="Z89" s="22"/>
      <c r="AA89" s="22"/>
      <c r="AB89" s="22"/>
      <c r="AC89" s="22"/>
      <c r="AD89" s="22"/>
      <c r="AE89" s="239">
        <f t="shared" si="36"/>
        <v>156100.01</v>
      </c>
      <c r="AF89" s="239">
        <v>28817</v>
      </c>
      <c r="AG89" s="22"/>
      <c r="AH89" s="22"/>
      <c r="AI89" s="22"/>
      <c r="AJ89" s="22"/>
      <c r="AK89" s="22"/>
      <c r="AL89" s="22"/>
      <c r="AM89" s="22"/>
    </row>
    <row r="90" spans="1:39" x14ac:dyDescent="0.2">
      <c r="A90" s="14"/>
      <c r="B90" s="15"/>
      <c r="C90" s="15"/>
      <c r="D90" s="15"/>
      <c r="E90" s="15"/>
      <c r="F90" s="15"/>
      <c r="G90" s="22"/>
      <c r="H90" s="49"/>
      <c r="I90" s="49"/>
      <c r="J90" s="49"/>
      <c r="K90" s="49"/>
      <c r="L90" s="49"/>
      <c r="M90" s="22"/>
      <c r="N90" s="22"/>
      <c r="O90" s="22"/>
      <c r="P90" s="22"/>
      <c r="Q90" s="22"/>
      <c r="R90" s="22"/>
      <c r="S90" s="22"/>
      <c r="T90" s="22"/>
      <c r="U90" s="22"/>
      <c r="V90" s="22"/>
      <c r="W90" s="22"/>
      <c r="X90" s="22"/>
      <c r="Y90" s="22"/>
      <c r="Z90" s="22"/>
      <c r="AA90" s="22"/>
      <c r="AB90" s="22"/>
      <c r="AC90" s="22"/>
      <c r="AD90" s="22"/>
      <c r="AE90" s="239">
        <f t="shared" si="36"/>
        <v>156200.01</v>
      </c>
      <c r="AF90" s="239">
        <v>28621</v>
      </c>
      <c r="AG90" s="22"/>
      <c r="AH90" s="22"/>
      <c r="AI90" s="22"/>
      <c r="AJ90" s="22"/>
      <c r="AK90" s="22"/>
      <c r="AL90" s="22"/>
      <c r="AM90" s="22"/>
    </row>
    <row r="91" spans="1:39" x14ac:dyDescent="0.2">
      <c r="A91" s="14"/>
      <c r="B91" s="15"/>
      <c r="C91" s="15"/>
      <c r="D91" s="233" t="s">
        <v>240</v>
      </c>
      <c r="E91" s="22"/>
      <c r="F91" s="166" t="s">
        <v>239</v>
      </c>
      <c r="G91" s="22"/>
      <c r="H91" s="49"/>
      <c r="I91" s="49"/>
      <c r="J91" s="49"/>
      <c r="K91" s="49"/>
      <c r="L91" s="49"/>
      <c r="M91" s="22"/>
      <c r="N91" s="22"/>
      <c r="O91" s="22"/>
      <c r="P91" s="22"/>
      <c r="Q91" s="22"/>
      <c r="R91" s="22"/>
      <c r="S91" s="22"/>
      <c r="T91" s="22"/>
      <c r="U91" s="22"/>
      <c r="V91" s="22"/>
      <c r="W91" s="22"/>
      <c r="X91" s="22"/>
      <c r="Y91" s="22"/>
      <c r="Z91" s="22"/>
      <c r="AA91" s="22"/>
      <c r="AB91" s="22"/>
      <c r="AC91" s="22"/>
      <c r="AD91" s="22"/>
      <c r="AE91" s="239">
        <f t="shared" si="36"/>
        <v>156300.01</v>
      </c>
      <c r="AF91" s="239">
        <v>28426</v>
      </c>
      <c r="AG91" s="22"/>
      <c r="AH91" s="22"/>
      <c r="AI91" s="22"/>
      <c r="AJ91" s="22"/>
      <c r="AK91" s="22"/>
      <c r="AL91" s="22"/>
      <c r="AM91" s="22"/>
    </row>
    <row r="92" spans="1:39" x14ac:dyDescent="0.2">
      <c r="A92" s="14"/>
      <c r="B92" s="15"/>
      <c r="C92" s="15"/>
      <c r="D92" s="15"/>
      <c r="E92" s="15"/>
      <c r="F92" s="15"/>
      <c r="G92" s="22"/>
      <c r="H92" s="49"/>
      <c r="I92" s="49"/>
      <c r="J92" s="49"/>
      <c r="K92" s="49"/>
      <c r="L92" s="49"/>
      <c r="M92" s="22"/>
      <c r="N92" s="22"/>
      <c r="O92" s="22"/>
      <c r="P92" s="22"/>
      <c r="Q92" s="234"/>
      <c r="R92" s="22"/>
      <c r="S92" s="22"/>
      <c r="T92" s="22"/>
      <c r="U92" s="22"/>
      <c r="V92" s="22"/>
      <c r="W92" s="22"/>
      <c r="X92" s="22"/>
      <c r="Y92" s="22"/>
      <c r="Z92" s="22"/>
      <c r="AA92" s="22"/>
      <c r="AB92" s="22"/>
      <c r="AC92" s="22"/>
      <c r="AD92" s="22"/>
      <c r="AE92" s="239">
        <f t="shared" si="36"/>
        <v>156400.01</v>
      </c>
      <c r="AF92" s="239">
        <v>28231</v>
      </c>
      <c r="AG92" s="22"/>
      <c r="AH92" s="22"/>
      <c r="AI92" s="22"/>
      <c r="AJ92" s="22"/>
      <c r="AK92" s="22"/>
      <c r="AL92" s="22"/>
      <c r="AM92" s="22"/>
    </row>
    <row r="93" spans="1:39" x14ac:dyDescent="0.2">
      <c r="A93" s="14"/>
      <c r="B93" s="15"/>
      <c r="C93" s="15"/>
      <c r="D93" s="15"/>
      <c r="E93" s="15"/>
      <c r="F93" s="15"/>
      <c r="G93" s="22"/>
      <c r="H93" s="49"/>
      <c r="I93" s="49"/>
      <c r="J93" s="49"/>
      <c r="K93" s="49"/>
      <c r="L93" s="49"/>
      <c r="M93" s="22"/>
      <c r="N93" s="22"/>
      <c r="O93" s="22"/>
      <c r="P93" s="22"/>
      <c r="Q93" s="234"/>
      <c r="R93" s="22"/>
      <c r="S93" s="22"/>
      <c r="T93" s="22"/>
      <c r="U93" s="22"/>
      <c r="V93" s="22"/>
      <c r="W93" s="22"/>
      <c r="X93" s="22"/>
      <c r="Y93" s="22"/>
      <c r="Z93" s="22"/>
      <c r="AA93" s="22"/>
      <c r="AB93" s="22"/>
      <c r="AC93" s="22"/>
      <c r="AD93" s="22"/>
      <c r="AE93" s="239">
        <f t="shared" si="36"/>
        <v>156500.01</v>
      </c>
      <c r="AF93" s="239">
        <v>28037</v>
      </c>
      <c r="AG93" s="22"/>
      <c r="AH93" s="101"/>
      <c r="AI93" s="101"/>
      <c r="AJ93" s="22"/>
      <c r="AK93" s="22"/>
      <c r="AL93" s="22"/>
      <c r="AM93" s="22"/>
    </row>
    <row r="94" spans="1:39" x14ac:dyDescent="0.2">
      <c r="A94" s="14"/>
      <c r="B94" s="15"/>
      <c r="C94" s="15"/>
      <c r="D94" s="15"/>
      <c r="E94" s="15"/>
      <c r="F94" s="15"/>
      <c r="G94" s="22"/>
      <c r="H94" s="49"/>
      <c r="I94" s="49"/>
      <c r="J94" s="49"/>
      <c r="K94" s="49"/>
      <c r="L94" s="49"/>
      <c r="M94" s="22"/>
      <c r="N94" s="22"/>
      <c r="O94" s="22"/>
      <c r="P94" s="22"/>
      <c r="Q94" s="22"/>
      <c r="R94" s="22"/>
      <c r="S94" s="22"/>
      <c r="T94" s="22"/>
      <c r="U94" s="22"/>
      <c r="V94" s="22"/>
      <c r="W94" s="22"/>
      <c r="X94" s="22"/>
      <c r="Y94" s="22"/>
      <c r="Z94" s="22"/>
      <c r="AA94" s="22"/>
      <c r="AB94" s="22"/>
      <c r="AC94" s="22"/>
      <c r="AD94" s="22"/>
      <c r="AE94" s="239">
        <f t="shared" ref="AE94:AE157" si="49">+AE93+100</f>
        <v>156600.01</v>
      </c>
      <c r="AF94" s="239">
        <v>27844</v>
      </c>
      <c r="AG94" s="22"/>
      <c r="AH94" s="101"/>
      <c r="AI94" s="101"/>
      <c r="AJ94" s="22"/>
      <c r="AK94" s="22"/>
      <c r="AL94" s="22"/>
      <c r="AM94" s="22"/>
    </row>
    <row r="95" spans="1:39" x14ac:dyDescent="0.2">
      <c r="A95" s="14"/>
      <c r="B95" s="15"/>
      <c r="C95" s="15"/>
      <c r="D95" s="15"/>
      <c r="E95" s="15"/>
      <c r="F95" s="15"/>
      <c r="G95" s="22"/>
      <c r="H95" s="49"/>
      <c r="I95" s="49"/>
      <c r="J95" s="49"/>
      <c r="K95" s="49"/>
      <c r="L95" s="49"/>
      <c r="M95" s="22"/>
      <c r="N95" s="22"/>
      <c r="O95" s="22"/>
      <c r="P95" s="22"/>
      <c r="Q95" s="22"/>
      <c r="R95" s="22"/>
      <c r="S95" s="22"/>
      <c r="T95" s="22"/>
      <c r="U95" s="22"/>
      <c r="V95" s="22"/>
      <c r="W95" s="22"/>
      <c r="X95" s="22"/>
      <c r="Y95" s="22"/>
      <c r="Z95" s="22"/>
      <c r="AA95" s="22"/>
      <c r="AB95" s="22"/>
      <c r="AC95" s="22"/>
      <c r="AD95" s="22"/>
      <c r="AE95" s="239">
        <f t="shared" si="49"/>
        <v>156700.01</v>
      </c>
      <c r="AF95" s="239">
        <v>27651</v>
      </c>
      <c r="AG95" s="22"/>
      <c r="AH95" s="101"/>
      <c r="AI95" s="101"/>
      <c r="AJ95" s="22"/>
      <c r="AK95" s="22"/>
      <c r="AL95" s="22"/>
      <c r="AM95" s="22"/>
    </row>
    <row r="96" spans="1:39" x14ac:dyDescent="0.2">
      <c r="A96" s="14"/>
      <c r="B96" s="15"/>
      <c r="C96" s="15"/>
      <c r="D96" s="15"/>
      <c r="E96" s="15"/>
      <c r="F96" s="15"/>
      <c r="G96" s="22"/>
      <c r="H96" s="49"/>
      <c r="I96" s="49"/>
      <c r="J96" s="49"/>
      <c r="K96" s="49"/>
      <c r="L96" s="49"/>
      <c r="M96" s="22"/>
      <c r="N96" s="22"/>
      <c r="O96" s="22"/>
      <c r="P96" s="22"/>
      <c r="Q96" s="22"/>
      <c r="R96" s="22"/>
      <c r="S96" s="22"/>
      <c r="T96" s="22"/>
      <c r="U96" s="22"/>
      <c r="V96" s="22"/>
      <c r="W96" s="22"/>
      <c r="X96" s="22"/>
      <c r="Y96" s="22"/>
      <c r="Z96" s="22"/>
      <c r="AA96" s="22"/>
      <c r="AB96" s="22"/>
      <c r="AC96" s="22"/>
      <c r="AD96" s="22"/>
      <c r="AE96" s="239">
        <f t="shared" si="49"/>
        <v>156800.01</v>
      </c>
      <c r="AF96" s="239">
        <v>27458</v>
      </c>
      <c r="AG96" s="22"/>
      <c r="AH96" s="101"/>
      <c r="AI96" s="101"/>
      <c r="AJ96" s="22"/>
      <c r="AK96" s="22"/>
      <c r="AL96" s="22"/>
      <c r="AM96" s="22"/>
    </row>
    <row r="97" spans="1:39" x14ac:dyDescent="0.2">
      <c r="A97" s="14"/>
      <c r="B97" s="15"/>
      <c r="C97" s="15"/>
      <c r="D97" s="15"/>
      <c r="E97" s="15"/>
      <c r="F97" s="15"/>
      <c r="G97" s="22"/>
      <c r="H97" s="49"/>
      <c r="I97" s="49"/>
      <c r="J97" s="49"/>
      <c r="K97" s="49"/>
      <c r="L97" s="49"/>
      <c r="M97" s="22"/>
      <c r="N97" s="22"/>
      <c r="O97" s="22"/>
      <c r="P97" s="22"/>
      <c r="Q97" s="22"/>
      <c r="R97" s="22"/>
      <c r="S97" s="22"/>
      <c r="T97" s="22"/>
      <c r="U97" s="22"/>
      <c r="V97" s="22"/>
      <c r="W97" s="22"/>
      <c r="X97" s="22"/>
      <c r="Y97" s="22"/>
      <c r="Z97" s="22"/>
      <c r="AA97" s="22"/>
      <c r="AB97" s="22"/>
      <c r="AC97" s="22"/>
      <c r="AD97" s="22"/>
      <c r="AE97" s="239">
        <f t="shared" si="49"/>
        <v>156900.01</v>
      </c>
      <c r="AF97" s="239">
        <v>27266</v>
      </c>
      <c r="AG97" s="22"/>
      <c r="AH97" s="101"/>
      <c r="AI97" s="101"/>
      <c r="AJ97" s="22"/>
      <c r="AK97" s="22"/>
      <c r="AL97" s="22"/>
      <c r="AM97" s="22"/>
    </row>
    <row r="98" spans="1:39" x14ac:dyDescent="0.2">
      <c r="A98" s="14"/>
      <c r="B98" s="15"/>
      <c r="C98" s="15"/>
      <c r="D98" s="15"/>
      <c r="E98" s="15"/>
      <c r="F98" s="15"/>
      <c r="G98" s="22"/>
      <c r="H98" s="49"/>
      <c r="I98" s="49"/>
      <c r="J98" s="49"/>
      <c r="K98" s="49"/>
      <c r="L98" s="49"/>
      <c r="M98" s="22"/>
      <c r="N98" s="22"/>
      <c r="O98" s="22"/>
      <c r="P98" s="22"/>
      <c r="Q98" s="22"/>
      <c r="R98" s="22"/>
      <c r="S98" s="22"/>
      <c r="T98" s="22"/>
      <c r="U98" s="22"/>
      <c r="V98" s="22"/>
      <c r="W98" s="22"/>
      <c r="X98" s="22"/>
      <c r="Y98" s="22"/>
      <c r="Z98" s="22"/>
      <c r="AA98" s="22"/>
      <c r="AB98" s="22"/>
      <c r="AC98" s="22"/>
      <c r="AD98" s="22"/>
      <c r="AE98" s="239">
        <f t="shared" si="49"/>
        <v>157000.01</v>
      </c>
      <c r="AF98" s="239">
        <v>27074</v>
      </c>
      <c r="AG98" s="22"/>
      <c r="AH98" s="101"/>
      <c r="AI98" s="101"/>
      <c r="AJ98" s="22"/>
      <c r="AK98" s="22"/>
      <c r="AL98" s="22"/>
      <c r="AM98" s="22"/>
    </row>
    <row r="99" spans="1:39" x14ac:dyDescent="0.2">
      <c r="A99" s="14"/>
      <c r="B99" s="15"/>
      <c r="C99" s="15"/>
      <c r="D99" s="15"/>
      <c r="E99" s="15"/>
      <c r="F99" s="15"/>
      <c r="G99" s="22"/>
      <c r="H99" s="49"/>
      <c r="I99" s="49"/>
      <c r="J99" s="49"/>
      <c r="K99" s="49"/>
      <c r="L99" s="49"/>
      <c r="M99" s="22"/>
      <c r="N99" s="22"/>
      <c r="O99" s="22"/>
      <c r="P99" s="22"/>
      <c r="Q99" s="22"/>
      <c r="R99" s="22"/>
      <c r="S99" s="22"/>
      <c r="T99" s="22"/>
      <c r="U99" s="22"/>
      <c r="V99" s="22"/>
      <c r="W99" s="22"/>
      <c r="X99" s="22"/>
      <c r="Y99" s="22"/>
      <c r="Z99" s="22"/>
      <c r="AA99" s="22"/>
      <c r="AB99" s="22"/>
      <c r="AC99" s="22"/>
      <c r="AD99" s="22"/>
      <c r="AE99" s="239">
        <f t="shared" si="49"/>
        <v>157100.01</v>
      </c>
      <c r="AF99" s="239">
        <v>26883</v>
      </c>
      <c r="AG99" s="22"/>
      <c r="AH99" s="22"/>
      <c r="AI99" s="22"/>
      <c r="AJ99" s="22"/>
      <c r="AK99" s="22"/>
      <c r="AL99" s="22"/>
      <c r="AM99" s="22"/>
    </row>
    <row r="100" spans="1:39" x14ac:dyDescent="0.2">
      <c r="A100" s="14"/>
      <c r="B100" s="15"/>
      <c r="C100" s="15"/>
      <c r="D100" s="15"/>
      <c r="E100" s="15"/>
      <c r="F100" s="15"/>
      <c r="G100" s="22"/>
      <c r="H100" s="49"/>
      <c r="I100" s="49"/>
      <c r="J100" s="49"/>
      <c r="K100" s="49"/>
      <c r="L100" s="49"/>
      <c r="M100" s="22"/>
      <c r="N100" s="22"/>
      <c r="O100" s="22"/>
      <c r="P100" s="22"/>
      <c r="Q100" s="22"/>
      <c r="R100" s="22"/>
      <c r="S100" s="22"/>
      <c r="T100" s="22"/>
      <c r="U100" s="22"/>
      <c r="V100" s="22"/>
      <c r="W100" s="22"/>
      <c r="X100" s="22"/>
      <c r="Y100" s="22"/>
      <c r="Z100" s="22"/>
      <c r="AA100" s="22"/>
      <c r="AB100" s="22"/>
      <c r="AC100" s="22"/>
      <c r="AD100" s="22"/>
      <c r="AE100" s="239">
        <f t="shared" si="49"/>
        <v>157200.01</v>
      </c>
      <c r="AF100" s="239">
        <v>26692</v>
      </c>
      <c r="AG100" s="22"/>
      <c r="AH100" s="22"/>
      <c r="AI100" s="22"/>
      <c r="AJ100" s="22"/>
      <c r="AK100" s="22"/>
      <c r="AL100" s="22"/>
      <c r="AM100" s="22"/>
    </row>
    <row r="101" spans="1:39" x14ac:dyDescent="0.2">
      <c r="A101" s="14"/>
      <c r="B101" s="15"/>
      <c r="C101" s="15"/>
      <c r="D101" s="15"/>
      <c r="E101" s="15"/>
      <c r="F101" s="15"/>
      <c r="G101" s="22"/>
      <c r="H101" s="49"/>
      <c r="I101" s="49"/>
      <c r="J101" s="49"/>
      <c r="K101" s="49"/>
      <c r="L101" s="49"/>
      <c r="M101" s="22"/>
      <c r="N101" s="22"/>
      <c r="O101" s="22"/>
      <c r="P101" s="22"/>
      <c r="Q101" s="22"/>
      <c r="R101" s="22"/>
      <c r="S101" s="22"/>
      <c r="T101" s="22"/>
      <c r="U101" s="22"/>
      <c r="V101" s="22"/>
      <c r="W101" s="22"/>
      <c r="X101" s="22"/>
      <c r="Y101" s="22"/>
      <c r="Z101" s="22"/>
      <c r="AA101" s="22"/>
      <c r="AB101" s="22"/>
      <c r="AC101" s="22"/>
      <c r="AD101" s="22"/>
      <c r="AE101" s="239">
        <f t="shared" si="49"/>
        <v>157300.01</v>
      </c>
      <c r="AF101" s="239">
        <v>26501</v>
      </c>
      <c r="AG101" s="22"/>
      <c r="AH101" s="22"/>
      <c r="AI101" s="22"/>
      <c r="AJ101" s="22"/>
      <c r="AK101" s="22"/>
      <c r="AL101" s="22"/>
      <c r="AM101" s="22"/>
    </row>
    <row r="102" spans="1:39" x14ac:dyDescent="0.2">
      <c r="A102" s="14"/>
      <c r="B102" s="15"/>
      <c r="C102" s="15"/>
      <c r="D102" s="15"/>
      <c r="E102" s="15"/>
      <c r="F102" s="15"/>
      <c r="G102" s="22"/>
      <c r="H102" s="49"/>
      <c r="I102" s="49"/>
      <c r="J102" s="49"/>
      <c r="K102" s="49"/>
      <c r="L102" s="49"/>
      <c r="M102" s="22"/>
      <c r="N102" s="22"/>
      <c r="O102" s="22"/>
      <c r="P102" s="22"/>
      <c r="Q102" s="22"/>
      <c r="R102" s="22"/>
      <c r="S102" s="22"/>
      <c r="T102" s="22"/>
      <c r="U102" s="22"/>
      <c r="V102" s="22"/>
      <c r="W102" s="22"/>
      <c r="X102" s="22"/>
      <c r="Y102" s="22"/>
      <c r="Z102" s="22"/>
      <c r="AA102" s="22"/>
      <c r="AB102" s="22"/>
      <c r="AC102" s="22"/>
      <c r="AD102" s="22"/>
      <c r="AE102" s="239">
        <f t="shared" si="49"/>
        <v>157400.01</v>
      </c>
      <c r="AF102" s="239">
        <v>26311</v>
      </c>
      <c r="AG102" s="22"/>
      <c r="AH102" s="22"/>
      <c r="AI102" s="22"/>
      <c r="AJ102" s="22"/>
      <c r="AK102" s="22"/>
      <c r="AL102" s="22"/>
      <c r="AM102" s="22"/>
    </row>
    <row r="103" spans="1:39" x14ac:dyDescent="0.2">
      <c r="A103" s="14"/>
      <c r="B103" s="15"/>
      <c r="C103" s="49"/>
      <c r="D103" s="15"/>
      <c r="E103" s="15"/>
      <c r="F103" s="15"/>
      <c r="G103" s="22"/>
      <c r="H103" s="49"/>
      <c r="I103" s="49"/>
      <c r="J103" s="49"/>
      <c r="K103" s="49"/>
      <c r="L103" s="49"/>
      <c r="M103" s="22"/>
      <c r="N103" s="22"/>
      <c r="O103" s="22"/>
      <c r="P103" s="22"/>
      <c r="Q103" s="22"/>
      <c r="R103" s="22"/>
      <c r="S103" s="22"/>
      <c r="T103" s="22"/>
      <c r="U103" s="22"/>
      <c r="V103" s="22"/>
      <c r="W103" s="22"/>
      <c r="X103" s="22"/>
      <c r="Y103" s="22"/>
      <c r="Z103" s="22"/>
      <c r="AA103" s="22"/>
      <c r="AB103" s="22"/>
      <c r="AC103" s="22"/>
      <c r="AD103" s="22"/>
      <c r="AE103" s="239">
        <f t="shared" si="49"/>
        <v>157500.01</v>
      </c>
      <c r="AF103" s="239">
        <v>26122</v>
      </c>
      <c r="AG103" s="22"/>
      <c r="AH103" s="22"/>
      <c r="AI103" s="22"/>
      <c r="AJ103" s="22"/>
      <c r="AK103" s="22"/>
      <c r="AL103" s="22"/>
      <c r="AM103" s="22"/>
    </row>
    <row r="104" spans="1:39" x14ac:dyDescent="0.2">
      <c r="A104" s="14"/>
      <c r="B104" s="15"/>
      <c r="C104" s="49"/>
      <c r="D104" s="15"/>
      <c r="E104" s="15"/>
      <c r="F104" s="15"/>
      <c r="G104" s="15"/>
      <c r="H104" s="15"/>
      <c r="I104" s="15"/>
      <c r="J104" s="15"/>
      <c r="K104" s="15"/>
      <c r="L104" s="15"/>
      <c r="M104" s="14"/>
      <c r="N104" s="15"/>
      <c r="O104" s="15"/>
      <c r="P104" s="15"/>
      <c r="Q104" s="22"/>
      <c r="R104" s="22"/>
      <c r="S104" s="22"/>
      <c r="T104" s="22"/>
      <c r="U104" s="22"/>
      <c r="V104" s="22"/>
      <c r="W104" s="22"/>
      <c r="X104" s="22"/>
      <c r="Y104" s="22"/>
      <c r="Z104" s="22"/>
      <c r="AA104" s="22"/>
      <c r="AB104" s="22"/>
      <c r="AC104" s="22"/>
      <c r="AD104" s="22"/>
      <c r="AE104" s="239">
        <f t="shared" si="49"/>
        <v>157600.01</v>
      </c>
      <c r="AF104" s="239">
        <v>25933</v>
      </c>
      <c r="AG104" s="22"/>
      <c r="AH104" s="22"/>
      <c r="AI104" s="22"/>
      <c r="AJ104" s="22"/>
      <c r="AK104" s="22"/>
      <c r="AL104" s="22"/>
      <c r="AM104" s="22"/>
    </row>
    <row r="105" spans="1:39" x14ac:dyDescent="0.2">
      <c r="A105" s="14"/>
      <c r="B105" s="98"/>
      <c r="C105" s="98"/>
      <c r="D105" s="98"/>
      <c r="E105" s="98"/>
      <c r="F105" s="98"/>
      <c r="G105" s="15"/>
      <c r="H105" s="15"/>
      <c r="I105" s="15"/>
      <c r="J105" s="15"/>
      <c r="K105" s="15"/>
      <c r="L105" s="22"/>
      <c r="M105" s="14"/>
      <c r="N105" s="15"/>
      <c r="O105" s="15"/>
      <c r="P105" s="15"/>
      <c r="Q105" s="22"/>
      <c r="R105" s="22"/>
      <c r="S105" s="22"/>
      <c r="T105" s="22"/>
      <c r="U105" s="22"/>
      <c r="V105" s="22"/>
      <c r="W105" s="22"/>
      <c r="X105" s="22"/>
      <c r="Y105" s="22"/>
      <c r="Z105" s="22"/>
      <c r="AA105" s="22"/>
      <c r="AB105" s="22"/>
      <c r="AC105" s="22"/>
      <c r="AD105" s="22"/>
      <c r="AE105" s="239">
        <f t="shared" si="49"/>
        <v>157700.01</v>
      </c>
      <c r="AF105" s="239">
        <v>25744</v>
      </c>
      <c r="AG105" s="22"/>
      <c r="AH105" s="22"/>
      <c r="AI105" s="22"/>
      <c r="AJ105" s="22"/>
      <c r="AK105" s="22"/>
      <c r="AL105" s="22"/>
      <c r="AM105" s="22"/>
    </row>
    <row r="106" spans="1:39" x14ac:dyDescent="0.2">
      <c r="A106" s="14"/>
      <c r="B106" s="14"/>
      <c r="C106" s="14"/>
      <c r="D106" s="14"/>
      <c r="E106" s="14"/>
      <c r="F106" s="14"/>
      <c r="G106" s="15"/>
      <c r="H106" s="15"/>
      <c r="I106" s="15"/>
      <c r="J106" s="15"/>
      <c r="K106" s="15"/>
      <c r="L106" s="22"/>
      <c r="M106" s="14"/>
      <c r="N106" s="15"/>
      <c r="O106" s="15"/>
      <c r="P106" s="15"/>
      <c r="Q106" s="22"/>
      <c r="R106" s="22"/>
      <c r="S106" s="22"/>
      <c r="T106" s="22"/>
      <c r="U106" s="22"/>
      <c r="V106" s="22"/>
      <c r="W106" s="22"/>
      <c r="X106" s="22"/>
      <c r="Y106" s="22"/>
      <c r="Z106" s="22"/>
      <c r="AA106" s="22"/>
      <c r="AB106" s="22"/>
      <c r="AC106" s="22"/>
      <c r="AD106" s="22"/>
      <c r="AE106" s="239">
        <f t="shared" si="49"/>
        <v>157800.01</v>
      </c>
      <c r="AF106" s="239">
        <v>25556</v>
      </c>
      <c r="AG106" s="22"/>
      <c r="AH106" s="22"/>
      <c r="AI106" s="22"/>
      <c r="AJ106" s="22"/>
      <c r="AK106" s="22"/>
      <c r="AL106" s="22"/>
      <c r="AM106" s="22"/>
    </row>
    <row r="107" spans="1:39" x14ac:dyDescent="0.2">
      <c r="A107" s="14"/>
      <c r="B107" s="15"/>
      <c r="C107" s="15"/>
      <c r="D107" s="15"/>
      <c r="E107" s="15"/>
      <c r="F107" s="15"/>
      <c r="G107" s="15"/>
      <c r="H107" s="15"/>
      <c r="I107" s="15"/>
      <c r="J107" s="15"/>
      <c r="K107" s="15"/>
      <c r="L107" s="22"/>
      <c r="M107" s="14"/>
      <c r="N107" s="15"/>
      <c r="O107" s="15"/>
      <c r="P107" s="15"/>
      <c r="Q107" s="22"/>
      <c r="R107" s="22"/>
      <c r="S107" s="22"/>
      <c r="T107" s="22"/>
      <c r="U107" s="22"/>
      <c r="V107" s="22"/>
      <c r="W107" s="22"/>
      <c r="X107" s="22"/>
      <c r="Y107" s="22"/>
      <c r="Z107" s="22"/>
      <c r="AA107" s="22"/>
      <c r="AB107" s="22"/>
      <c r="AC107" s="22"/>
      <c r="AD107" s="22"/>
      <c r="AE107" s="239">
        <f t="shared" si="49"/>
        <v>157900.01</v>
      </c>
      <c r="AF107" s="239">
        <v>25368</v>
      </c>
      <c r="AG107" s="22"/>
      <c r="AH107" s="22"/>
      <c r="AI107" s="22"/>
      <c r="AJ107" s="22"/>
      <c r="AK107" s="22"/>
      <c r="AL107" s="22"/>
      <c r="AM107" s="22"/>
    </row>
    <row r="108" spans="1:39" x14ac:dyDescent="0.2">
      <c r="A108" s="14"/>
      <c r="B108" s="15"/>
      <c r="C108" s="15"/>
      <c r="D108" s="15"/>
      <c r="E108" s="15"/>
      <c r="F108" s="15"/>
      <c r="G108" s="15"/>
      <c r="H108" s="15"/>
      <c r="I108" s="15"/>
      <c r="J108" s="15"/>
      <c r="K108" s="15"/>
      <c r="L108" s="22"/>
      <c r="M108" s="14"/>
      <c r="N108" s="15"/>
      <c r="O108" s="15"/>
      <c r="P108" s="15"/>
      <c r="Q108" s="22"/>
      <c r="R108" s="22"/>
      <c r="S108" s="22"/>
      <c r="T108" s="22"/>
      <c r="U108" s="22"/>
      <c r="V108" s="22"/>
      <c r="W108" s="22"/>
      <c r="X108" s="22"/>
      <c r="Y108" s="22"/>
      <c r="Z108" s="22"/>
      <c r="AA108" s="22"/>
      <c r="AB108" s="22"/>
      <c r="AC108" s="22"/>
      <c r="AD108" s="22"/>
      <c r="AE108" s="239">
        <f t="shared" si="49"/>
        <v>158000.01</v>
      </c>
      <c r="AF108" s="239">
        <v>25181</v>
      </c>
      <c r="AG108" s="22"/>
      <c r="AH108" s="22"/>
      <c r="AI108" s="22"/>
      <c r="AJ108" s="22"/>
      <c r="AK108" s="22"/>
      <c r="AL108" s="22"/>
      <c r="AM108" s="22"/>
    </row>
    <row r="109" spans="1:39" x14ac:dyDescent="0.2">
      <c r="A109" s="14"/>
      <c r="B109" s="15"/>
      <c r="C109" s="15"/>
      <c r="D109" s="15"/>
      <c r="E109" s="15"/>
      <c r="F109" s="15"/>
      <c r="G109" s="15"/>
      <c r="H109" s="15"/>
      <c r="I109" s="15"/>
      <c r="J109" s="15"/>
      <c r="K109" s="15"/>
      <c r="L109" s="22"/>
      <c r="M109" s="14"/>
      <c r="N109" s="15"/>
      <c r="O109" s="15"/>
      <c r="P109" s="15"/>
      <c r="Q109" s="22"/>
      <c r="R109" s="22"/>
      <c r="S109" s="22"/>
      <c r="T109" s="22"/>
      <c r="U109" s="22"/>
      <c r="V109" s="22"/>
      <c r="W109" s="22"/>
      <c r="X109" s="22"/>
      <c r="Y109" s="22"/>
      <c r="Z109" s="22"/>
      <c r="AA109" s="22"/>
      <c r="AB109" s="22"/>
      <c r="AC109" s="22"/>
      <c r="AD109" s="22"/>
      <c r="AE109" s="239">
        <f t="shared" si="49"/>
        <v>158100.01</v>
      </c>
      <c r="AF109" s="239">
        <v>24994</v>
      </c>
      <c r="AG109" s="22"/>
      <c r="AH109" s="22"/>
      <c r="AI109" s="22"/>
      <c r="AJ109" s="22"/>
      <c r="AK109" s="22"/>
      <c r="AL109" s="22"/>
      <c r="AM109" s="22"/>
    </row>
    <row r="110" spans="1:39" x14ac:dyDescent="0.2">
      <c r="A110" s="14"/>
      <c r="B110" s="15"/>
      <c r="C110" s="15"/>
      <c r="D110" s="15"/>
      <c r="E110" s="15"/>
      <c r="F110" s="15"/>
      <c r="G110" s="15"/>
      <c r="H110" s="15"/>
      <c r="I110" s="15"/>
      <c r="J110" s="15"/>
      <c r="K110" s="15"/>
      <c r="L110" s="22"/>
      <c r="M110" s="14"/>
      <c r="N110" s="15"/>
      <c r="O110" s="15"/>
      <c r="P110" s="15"/>
      <c r="Q110" s="22"/>
      <c r="R110" s="22"/>
      <c r="S110" s="22"/>
      <c r="T110" s="22"/>
      <c r="U110" s="22"/>
      <c r="V110" s="22"/>
      <c r="W110" s="22"/>
      <c r="X110" s="22"/>
      <c r="Y110" s="22"/>
      <c r="Z110" s="22"/>
      <c r="AA110" s="22"/>
      <c r="AB110" s="22"/>
      <c r="AC110" s="22"/>
      <c r="AD110" s="22"/>
      <c r="AE110" s="239">
        <f t="shared" si="49"/>
        <v>158200.01</v>
      </c>
      <c r="AF110" s="239">
        <v>24807</v>
      </c>
      <c r="AG110" s="22"/>
      <c r="AH110" s="22"/>
      <c r="AI110" s="22"/>
      <c r="AJ110" s="22"/>
      <c r="AK110" s="22"/>
      <c r="AL110" s="22"/>
      <c r="AM110" s="22"/>
    </row>
    <row r="111" spans="1:39" x14ac:dyDescent="0.2">
      <c r="A111" s="14"/>
      <c r="B111" s="15"/>
      <c r="C111" s="15"/>
      <c r="D111" s="15"/>
      <c r="E111" s="15"/>
      <c r="F111" s="15"/>
      <c r="G111" s="15"/>
      <c r="H111" s="15"/>
      <c r="I111" s="15"/>
      <c r="J111" s="15"/>
      <c r="K111" s="15"/>
      <c r="L111" s="22"/>
      <c r="M111" s="14"/>
      <c r="N111" s="15"/>
      <c r="O111" s="15"/>
      <c r="P111" s="15"/>
      <c r="Q111" s="22"/>
      <c r="R111" s="22"/>
      <c r="S111" s="22"/>
      <c r="T111" s="22"/>
      <c r="U111" s="22"/>
      <c r="V111" s="22"/>
      <c r="W111" s="22"/>
      <c r="X111" s="22"/>
      <c r="Y111" s="22"/>
      <c r="Z111" s="22"/>
      <c r="AA111" s="22"/>
      <c r="AB111" s="22"/>
      <c r="AC111" s="22"/>
      <c r="AD111" s="22"/>
      <c r="AE111" s="239">
        <f t="shared" si="49"/>
        <v>158300.01</v>
      </c>
      <c r="AF111" s="239">
        <v>24621</v>
      </c>
      <c r="AG111" s="22"/>
      <c r="AH111" s="22"/>
      <c r="AI111" s="22"/>
      <c r="AJ111" s="22"/>
      <c r="AK111" s="22"/>
      <c r="AL111" s="22"/>
      <c r="AM111" s="22"/>
    </row>
    <row r="112" spans="1:39" x14ac:dyDescent="0.2">
      <c r="A112" s="14"/>
      <c r="B112" s="15"/>
      <c r="C112" s="15"/>
      <c r="D112" s="15"/>
      <c r="E112" s="15"/>
      <c r="F112" s="15"/>
      <c r="G112" s="15"/>
      <c r="H112" s="15"/>
      <c r="I112" s="15"/>
      <c r="J112" s="15"/>
      <c r="K112" s="15"/>
      <c r="L112" s="22"/>
      <c r="M112" s="14"/>
      <c r="N112" s="15"/>
      <c r="O112" s="15"/>
      <c r="P112" s="15"/>
      <c r="Q112" s="22"/>
      <c r="R112" s="22"/>
      <c r="S112" s="22"/>
      <c r="T112" s="22"/>
      <c r="U112" s="22"/>
      <c r="V112" s="22"/>
      <c r="W112" s="22"/>
      <c r="X112" s="22"/>
      <c r="Y112" s="22"/>
      <c r="Z112" s="22"/>
      <c r="AA112" s="22"/>
      <c r="AB112" s="22"/>
      <c r="AC112" s="22"/>
      <c r="AD112" s="22"/>
      <c r="AE112" s="239">
        <f t="shared" si="49"/>
        <v>158400.01</v>
      </c>
      <c r="AF112" s="239">
        <v>24435</v>
      </c>
      <c r="AG112" s="22"/>
      <c r="AH112" s="22"/>
      <c r="AI112" s="22"/>
      <c r="AJ112" s="22"/>
      <c r="AK112" s="22"/>
      <c r="AL112" s="22"/>
      <c r="AM112" s="22"/>
    </row>
    <row r="113" spans="1:39" x14ac:dyDescent="0.2">
      <c r="A113" s="14"/>
      <c r="B113" s="15"/>
      <c r="C113" s="15"/>
      <c r="D113" s="15"/>
      <c r="E113" s="15"/>
      <c r="F113" s="15"/>
      <c r="G113" s="15"/>
      <c r="H113" s="15"/>
      <c r="I113" s="15"/>
      <c r="J113" s="15"/>
      <c r="K113" s="15"/>
      <c r="L113" s="22"/>
      <c r="M113" s="14"/>
      <c r="N113" s="15"/>
      <c r="O113" s="15"/>
      <c r="P113" s="15"/>
      <c r="Q113" s="22"/>
      <c r="R113" s="22"/>
      <c r="S113" s="22"/>
      <c r="T113" s="22"/>
      <c r="U113" s="22"/>
      <c r="V113" s="22"/>
      <c r="W113" s="22"/>
      <c r="X113" s="22"/>
      <c r="Y113" s="22"/>
      <c r="Z113" s="22"/>
      <c r="AA113" s="22"/>
      <c r="AB113" s="22"/>
      <c r="AC113" s="22"/>
      <c r="AD113" s="22"/>
      <c r="AE113" s="239">
        <f t="shared" si="49"/>
        <v>158500.01</v>
      </c>
      <c r="AF113" s="239">
        <v>24249</v>
      </c>
      <c r="AG113" s="22"/>
      <c r="AH113" s="22"/>
      <c r="AI113" s="22"/>
      <c r="AJ113" s="22"/>
      <c r="AK113" s="22"/>
      <c r="AL113" s="22"/>
      <c r="AM113" s="22"/>
    </row>
    <row r="114" spans="1:39" x14ac:dyDescent="0.2">
      <c r="A114" s="14"/>
      <c r="B114" s="15"/>
      <c r="C114" s="15"/>
      <c r="D114" s="15"/>
      <c r="E114" s="15"/>
      <c r="F114" s="15"/>
      <c r="G114" s="15"/>
      <c r="H114" s="15"/>
      <c r="I114" s="15"/>
      <c r="J114" s="15"/>
      <c r="K114" s="15"/>
      <c r="L114" s="22"/>
      <c r="M114" s="14"/>
      <c r="N114" s="15"/>
      <c r="O114" s="15"/>
      <c r="P114" s="15"/>
      <c r="Q114" s="22"/>
      <c r="R114" s="22"/>
      <c r="S114" s="22"/>
      <c r="T114" s="22"/>
      <c r="U114" s="22"/>
      <c r="V114" s="22"/>
      <c r="W114" s="22"/>
      <c r="X114" s="22"/>
      <c r="Y114" s="22"/>
      <c r="Z114" s="22"/>
      <c r="AA114" s="22"/>
      <c r="AB114" s="22"/>
      <c r="AC114" s="22"/>
      <c r="AD114" s="22"/>
      <c r="AE114" s="239">
        <f t="shared" si="49"/>
        <v>158600.01</v>
      </c>
      <c r="AF114" s="239">
        <v>24064</v>
      </c>
      <c r="AG114" s="22"/>
      <c r="AH114" s="22"/>
      <c r="AI114" s="22"/>
      <c r="AJ114" s="22"/>
      <c r="AK114" s="22"/>
      <c r="AL114" s="22"/>
      <c r="AM114" s="22"/>
    </row>
    <row r="115" spans="1:39" x14ac:dyDescent="0.2">
      <c r="A115" s="14"/>
      <c r="B115" s="15"/>
      <c r="C115" s="15"/>
      <c r="D115" s="15"/>
      <c r="E115" s="15"/>
      <c r="F115" s="15"/>
      <c r="G115" s="15"/>
      <c r="H115" s="15"/>
      <c r="I115" s="15"/>
      <c r="J115" s="15"/>
      <c r="K115" s="15"/>
      <c r="L115" s="22"/>
      <c r="M115" s="14"/>
      <c r="N115" s="15"/>
      <c r="O115" s="15"/>
      <c r="P115" s="15"/>
      <c r="Q115" s="22"/>
      <c r="R115" s="22"/>
      <c r="S115" s="22"/>
      <c r="T115" s="22"/>
      <c r="U115" s="22"/>
      <c r="V115" s="22"/>
      <c r="W115" s="22"/>
      <c r="X115" s="22"/>
      <c r="Y115" s="22"/>
      <c r="Z115" s="22"/>
      <c r="AA115" s="22"/>
      <c r="AB115" s="22"/>
      <c r="AC115" s="22"/>
      <c r="AD115" s="22"/>
      <c r="AE115" s="239">
        <f t="shared" si="49"/>
        <v>158700.01</v>
      </c>
      <c r="AF115" s="239">
        <v>23879</v>
      </c>
      <c r="AG115" s="22"/>
      <c r="AH115" s="22"/>
      <c r="AI115" s="22"/>
      <c r="AJ115" s="22"/>
      <c r="AK115" s="22"/>
      <c r="AL115" s="22"/>
      <c r="AM115" s="22"/>
    </row>
    <row r="116" spans="1:39" x14ac:dyDescent="0.2">
      <c r="A116" s="14"/>
      <c r="B116" s="15"/>
      <c r="C116" s="15"/>
      <c r="D116" s="15"/>
      <c r="E116" s="15"/>
      <c r="F116" s="15"/>
      <c r="G116" s="15"/>
      <c r="H116" s="15"/>
      <c r="I116" s="15"/>
      <c r="J116" s="15"/>
      <c r="K116" s="15"/>
      <c r="L116" s="22"/>
      <c r="M116" s="14"/>
      <c r="N116" s="15"/>
      <c r="O116" s="15"/>
      <c r="P116" s="15"/>
      <c r="Q116" s="22"/>
      <c r="R116" s="22"/>
      <c r="S116" s="22"/>
      <c r="T116" s="22"/>
      <c r="U116" s="22"/>
      <c r="V116" s="22"/>
      <c r="W116" s="22"/>
      <c r="X116" s="22"/>
      <c r="Y116" s="22"/>
      <c r="Z116" s="22"/>
      <c r="AA116" s="22"/>
      <c r="AB116" s="22"/>
      <c r="AC116" s="22"/>
      <c r="AD116" s="22"/>
      <c r="AE116" s="239">
        <f t="shared" si="49"/>
        <v>158800.01</v>
      </c>
      <c r="AF116" s="239">
        <v>23695</v>
      </c>
      <c r="AG116" s="22"/>
      <c r="AH116" s="22"/>
      <c r="AI116" s="22"/>
      <c r="AJ116" s="22"/>
      <c r="AK116" s="22"/>
      <c r="AL116" s="22"/>
      <c r="AM116" s="22"/>
    </row>
    <row r="117" spans="1:39" x14ac:dyDescent="0.2">
      <c r="A117" s="14"/>
      <c r="B117" s="15"/>
      <c r="C117" s="15"/>
      <c r="D117" s="15"/>
      <c r="E117" s="15"/>
      <c r="F117" s="15"/>
      <c r="G117" s="15"/>
      <c r="H117" s="15"/>
      <c r="I117" s="15"/>
      <c r="J117" s="15"/>
      <c r="K117" s="15"/>
      <c r="L117" s="22"/>
      <c r="M117" s="14"/>
      <c r="N117" s="15"/>
      <c r="O117" s="15"/>
      <c r="P117" s="15"/>
      <c r="Q117" s="22"/>
      <c r="R117" s="22"/>
      <c r="S117" s="22"/>
      <c r="T117" s="22"/>
      <c r="U117" s="22"/>
      <c r="V117" s="22"/>
      <c r="W117" s="22"/>
      <c r="X117" s="22"/>
      <c r="Y117" s="22"/>
      <c r="Z117" s="22"/>
      <c r="AA117" s="22"/>
      <c r="AB117" s="22"/>
      <c r="AC117" s="22"/>
      <c r="AD117" s="22"/>
      <c r="AE117" s="239">
        <f t="shared" si="49"/>
        <v>158900.01</v>
      </c>
      <c r="AF117" s="239">
        <v>23511</v>
      </c>
      <c r="AG117" s="22"/>
      <c r="AH117" s="22"/>
      <c r="AI117" s="22"/>
      <c r="AJ117" s="22"/>
      <c r="AK117" s="22"/>
      <c r="AL117" s="22"/>
      <c r="AM117" s="22"/>
    </row>
    <row r="118" spans="1:39" x14ac:dyDescent="0.2">
      <c r="A118" s="14"/>
      <c r="B118" s="15"/>
      <c r="C118" s="15"/>
      <c r="D118" s="15"/>
      <c r="E118" s="15"/>
      <c r="F118" s="15"/>
      <c r="G118" s="15"/>
      <c r="H118" s="15"/>
      <c r="I118" s="15"/>
      <c r="J118" s="15"/>
      <c r="K118" s="15"/>
      <c r="L118" s="22"/>
      <c r="M118" s="14"/>
      <c r="N118" s="15"/>
      <c r="O118" s="15"/>
      <c r="P118" s="15"/>
      <c r="Q118" s="22"/>
      <c r="R118" s="22"/>
      <c r="S118" s="22"/>
      <c r="T118" s="22"/>
      <c r="U118" s="22"/>
      <c r="V118" s="22"/>
      <c r="W118" s="22"/>
      <c r="X118" s="22"/>
      <c r="Y118" s="22"/>
      <c r="Z118" s="22"/>
      <c r="AA118" s="22"/>
      <c r="AB118" s="22"/>
      <c r="AC118" s="22"/>
      <c r="AD118" s="22"/>
      <c r="AE118" s="239">
        <f t="shared" si="49"/>
        <v>159000.01</v>
      </c>
      <c r="AF118" s="239">
        <v>23327</v>
      </c>
      <c r="AG118" s="22"/>
      <c r="AH118" s="22"/>
      <c r="AI118" s="22"/>
      <c r="AJ118" s="22"/>
      <c r="AK118" s="22"/>
      <c r="AL118" s="22"/>
      <c r="AM118" s="22"/>
    </row>
    <row r="119" spans="1:39" x14ac:dyDescent="0.2">
      <c r="A119" s="14"/>
      <c r="B119" s="15"/>
      <c r="C119" s="15"/>
      <c r="D119" s="15"/>
      <c r="E119" s="15"/>
      <c r="F119" s="15"/>
      <c r="G119" s="15"/>
      <c r="H119" s="15"/>
      <c r="I119" s="15"/>
      <c r="J119" s="15"/>
      <c r="K119" s="15"/>
      <c r="L119" s="22"/>
      <c r="M119" s="14"/>
      <c r="N119" s="15"/>
      <c r="O119" s="15"/>
      <c r="P119" s="15"/>
      <c r="Q119" s="22"/>
      <c r="R119" s="22"/>
      <c r="S119" s="22"/>
      <c r="T119" s="22"/>
      <c r="U119" s="22"/>
      <c r="V119" s="22"/>
      <c r="W119" s="22"/>
      <c r="X119" s="22"/>
      <c r="Y119" s="22"/>
      <c r="Z119" s="22"/>
      <c r="AA119" s="22"/>
      <c r="AB119" s="22"/>
      <c r="AC119" s="22"/>
      <c r="AD119" s="22"/>
      <c r="AE119" s="239">
        <f t="shared" si="49"/>
        <v>159100.01</v>
      </c>
      <c r="AF119" s="239">
        <v>23143</v>
      </c>
      <c r="AG119" s="22"/>
      <c r="AH119" s="22"/>
      <c r="AI119" s="22"/>
      <c r="AJ119" s="22"/>
      <c r="AK119" s="22"/>
      <c r="AL119" s="22"/>
      <c r="AM119" s="22"/>
    </row>
    <row r="120" spans="1:39" x14ac:dyDescent="0.2">
      <c r="A120" s="14"/>
      <c r="B120" s="15"/>
      <c r="C120" s="15"/>
      <c r="D120" s="15"/>
      <c r="E120" s="15"/>
      <c r="F120" s="15"/>
      <c r="G120" s="15"/>
      <c r="H120" s="15"/>
      <c r="I120" s="15"/>
      <c r="J120" s="15"/>
      <c r="K120" s="15"/>
      <c r="L120" s="22"/>
      <c r="M120" s="14"/>
      <c r="N120" s="15"/>
      <c r="O120" s="15"/>
      <c r="P120" s="15"/>
      <c r="Q120" s="22"/>
      <c r="R120" s="22"/>
      <c r="S120" s="22"/>
      <c r="T120" s="22"/>
      <c r="U120" s="22"/>
      <c r="V120" s="22"/>
      <c r="W120" s="22"/>
      <c r="X120" s="22"/>
      <c r="Y120" s="22"/>
      <c r="Z120" s="22"/>
      <c r="AA120" s="22"/>
      <c r="AB120" s="22"/>
      <c r="AC120" s="22"/>
      <c r="AD120" s="22"/>
      <c r="AE120" s="239">
        <f t="shared" si="49"/>
        <v>159200.01</v>
      </c>
      <c r="AF120" s="239">
        <v>22960</v>
      </c>
      <c r="AG120" s="22"/>
      <c r="AH120" s="22"/>
      <c r="AI120" s="22"/>
      <c r="AJ120" s="22"/>
      <c r="AK120" s="22"/>
      <c r="AL120" s="22"/>
      <c r="AM120" s="22"/>
    </row>
    <row r="121" spans="1:39" x14ac:dyDescent="0.2">
      <c r="A121" s="14"/>
      <c r="B121" s="15"/>
      <c r="C121" s="49"/>
      <c r="D121" s="15"/>
      <c r="E121" s="15"/>
      <c r="F121" s="15"/>
      <c r="G121" s="15"/>
      <c r="H121" s="15"/>
      <c r="I121" s="15"/>
      <c r="J121" s="15"/>
      <c r="K121" s="15"/>
      <c r="L121" s="22"/>
      <c r="M121" s="14"/>
      <c r="N121" s="15"/>
      <c r="O121" s="15"/>
      <c r="P121" s="15"/>
      <c r="Q121" s="22"/>
      <c r="R121" s="22"/>
      <c r="S121" s="22"/>
      <c r="T121" s="22"/>
      <c r="U121" s="22"/>
      <c r="V121" s="22"/>
      <c r="W121" s="22"/>
      <c r="X121" s="22"/>
      <c r="Y121" s="22"/>
      <c r="Z121" s="22"/>
      <c r="AA121" s="22"/>
      <c r="AB121" s="22"/>
      <c r="AC121" s="22"/>
      <c r="AD121" s="22"/>
      <c r="AE121" s="239">
        <f t="shared" si="49"/>
        <v>159300.01</v>
      </c>
      <c r="AF121" s="239">
        <v>22778</v>
      </c>
      <c r="AG121" s="22"/>
      <c r="AH121" s="22"/>
      <c r="AI121" s="22"/>
      <c r="AJ121" s="22"/>
      <c r="AK121" s="22"/>
      <c r="AL121" s="22"/>
      <c r="AM121" s="22"/>
    </row>
    <row r="122" spans="1:39" x14ac:dyDescent="0.2">
      <c r="A122" s="14"/>
      <c r="B122" s="98"/>
      <c r="C122" s="98"/>
      <c r="D122" s="98"/>
      <c r="E122" s="98"/>
      <c r="F122" s="98"/>
      <c r="G122" s="15"/>
      <c r="H122" s="15"/>
      <c r="I122" s="15"/>
      <c r="J122" s="15"/>
      <c r="K122" s="15"/>
      <c r="L122" s="22"/>
      <c r="M122" s="14"/>
      <c r="N122" s="15"/>
      <c r="O122" s="15"/>
      <c r="P122" s="15"/>
      <c r="Q122" s="22"/>
      <c r="R122" s="22"/>
      <c r="S122" s="22"/>
      <c r="T122" s="22"/>
      <c r="U122" s="22"/>
      <c r="V122" s="22"/>
      <c r="W122" s="22"/>
      <c r="X122" s="22"/>
      <c r="Y122" s="22"/>
      <c r="Z122" s="22"/>
      <c r="AA122" s="22"/>
      <c r="AB122" s="22"/>
      <c r="AC122" s="22"/>
      <c r="AD122" s="22"/>
      <c r="AE122" s="239">
        <f t="shared" si="49"/>
        <v>159400.01</v>
      </c>
      <c r="AF122" s="239">
        <v>22595</v>
      </c>
      <c r="AG122" s="22"/>
      <c r="AH122" s="22"/>
      <c r="AI122" s="22"/>
      <c r="AJ122" s="22"/>
      <c r="AK122" s="22"/>
      <c r="AL122" s="22"/>
      <c r="AM122" s="22"/>
    </row>
    <row r="123" spans="1:39" x14ac:dyDescent="0.2">
      <c r="A123" s="14"/>
      <c r="B123" s="14"/>
      <c r="C123" s="14"/>
      <c r="D123" s="14"/>
      <c r="E123" s="14"/>
      <c r="F123" s="14"/>
      <c r="G123" s="15"/>
      <c r="H123" s="15"/>
      <c r="I123" s="15"/>
      <c r="J123" s="15"/>
      <c r="K123" s="15"/>
      <c r="L123" s="22"/>
      <c r="M123" s="14"/>
      <c r="N123" s="15"/>
      <c r="O123" s="15"/>
      <c r="P123" s="15"/>
      <c r="Q123" s="22"/>
      <c r="R123" s="22"/>
      <c r="S123" s="22"/>
      <c r="T123" s="22"/>
      <c r="U123" s="22"/>
      <c r="V123" s="22"/>
      <c r="W123" s="22"/>
      <c r="X123" s="22"/>
      <c r="Y123" s="22"/>
      <c r="Z123" s="22"/>
      <c r="AA123" s="22"/>
      <c r="AB123" s="22"/>
      <c r="AC123" s="22"/>
      <c r="AD123" s="22"/>
      <c r="AE123" s="239">
        <f t="shared" si="49"/>
        <v>159500.01</v>
      </c>
      <c r="AF123" s="239">
        <v>22413</v>
      </c>
      <c r="AG123" s="22"/>
      <c r="AH123" s="22"/>
      <c r="AI123" s="22"/>
      <c r="AJ123" s="22"/>
      <c r="AK123" s="22"/>
      <c r="AL123" s="22"/>
      <c r="AM123" s="22"/>
    </row>
    <row r="124" spans="1:39" x14ac:dyDescent="0.2">
      <c r="A124" s="14"/>
      <c r="B124" s="15"/>
      <c r="C124" s="15"/>
      <c r="D124" s="15"/>
      <c r="E124" s="15"/>
      <c r="F124" s="15"/>
      <c r="G124" s="15"/>
      <c r="H124" s="15"/>
      <c r="I124" s="15"/>
      <c r="J124" s="15"/>
      <c r="K124" s="15"/>
      <c r="L124" s="22"/>
      <c r="M124" s="14"/>
      <c r="N124" s="15"/>
      <c r="O124" s="15"/>
      <c r="P124" s="15"/>
      <c r="Q124" s="22"/>
      <c r="R124" s="22"/>
      <c r="S124" s="22"/>
      <c r="T124" s="22"/>
      <c r="U124" s="22"/>
      <c r="V124" s="22"/>
      <c r="W124" s="22"/>
      <c r="X124" s="22"/>
      <c r="Y124" s="22"/>
      <c r="Z124" s="22"/>
      <c r="AA124" s="22"/>
      <c r="AB124" s="22"/>
      <c r="AC124" s="22"/>
      <c r="AD124" s="22"/>
      <c r="AE124" s="239">
        <f t="shared" si="49"/>
        <v>159600.01</v>
      </c>
      <c r="AF124" s="239">
        <v>22231</v>
      </c>
      <c r="AG124" s="22"/>
      <c r="AH124" s="22"/>
      <c r="AI124" s="22"/>
      <c r="AJ124" s="22"/>
      <c r="AK124" s="22"/>
      <c r="AL124" s="22"/>
      <c r="AM124" s="22"/>
    </row>
    <row r="125" spans="1:39" x14ac:dyDescent="0.2">
      <c r="A125" s="14"/>
      <c r="B125" s="15"/>
      <c r="C125" s="15"/>
      <c r="D125" s="15"/>
      <c r="E125" s="15"/>
      <c r="F125" s="15"/>
      <c r="G125" s="15"/>
      <c r="H125" s="15"/>
      <c r="I125" s="15"/>
      <c r="J125" s="15"/>
      <c r="K125" s="15"/>
      <c r="L125" s="22"/>
      <c r="M125" s="14"/>
      <c r="N125" s="15"/>
      <c r="O125" s="15"/>
      <c r="P125" s="15"/>
      <c r="Q125" s="22"/>
      <c r="R125" s="22"/>
      <c r="S125" s="22"/>
      <c r="T125" s="22"/>
      <c r="U125" s="22"/>
      <c r="V125" s="22"/>
      <c r="W125" s="22"/>
      <c r="X125" s="22"/>
      <c r="Y125" s="22"/>
      <c r="Z125" s="22"/>
      <c r="AA125" s="22"/>
      <c r="AB125" s="22"/>
      <c r="AC125" s="22"/>
      <c r="AD125" s="22"/>
      <c r="AE125" s="239">
        <f t="shared" si="49"/>
        <v>159700.01</v>
      </c>
      <c r="AF125" s="239">
        <v>22050</v>
      </c>
      <c r="AG125" s="22"/>
      <c r="AH125" s="22"/>
      <c r="AI125" s="22"/>
      <c r="AJ125" s="22"/>
      <c r="AK125" s="22"/>
      <c r="AL125" s="22"/>
      <c r="AM125" s="22"/>
    </row>
    <row r="126" spans="1:39" x14ac:dyDescent="0.2">
      <c r="A126" s="14"/>
      <c r="B126" s="15"/>
      <c r="C126" s="15"/>
      <c r="D126" s="15"/>
      <c r="E126" s="15"/>
      <c r="F126" s="15"/>
      <c r="G126" s="15"/>
      <c r="H126" s="15"/>
      <c r="I126" s="15"/>
      <c r="J126" s="15"/>
      <c r="K126" s="15"/>
      <c r="L126" s="22"/>
      <c r="M126" s="14"/>
      <c r="N126" s="15"/>
      <c r="O126" s="15"/>
      <c r="P126" s="15"/>
      <c r="Q126" s="22"/>
      <c r="R126" s="22"/>
      <c r="S126" s="22"/>
      <c r="T126" s="22"/>
      <c r="U126" s="22"/>
      <c r="V126" s="22"/>
      <c r="W126" s="22"/>
      <c r="X126" s="22"/>
      <c r="Y126" s="22"/>
      <c r="Z126" s="22"/>
      <c r="AA126" s="22"/>
      <c r="AB126" s="22"/>
      <c r="AC126" s="22"/>
      <c r="AD126" s="22"/>
      <c r="AE126" s="239">
        <f t="shared" si="49"/>
        <v>159800.01</v>
      </c>
      <c r="AF126" s="239">
        <v>21869</v>
      </c>
      <c r="AG126" s="22"/>
      <c r="AH126" s="22"/>
      <c r="AI126" s="22"/>
      <c r="AJ126" s="22"/>
      <c r="AK126" s="22"/>
      <c r="AL126" s="22"/>
      <c r="AM126" s="22"/>
    </row>
    <row r="127" spans="1:39" x14ac:dyDescent="0.2">
      <c r="A127" s="14"/>
      <c r="B127" s="15"/>
      <c r="C127" s="15"/>
      <c r="D127" s="15"/>
      <c r="E127" s="15"/>
      <c r="F127" s="15"/>
      <c r="G127" s="15"/>
      <c r="H127" s="15"/>
      <c r="I127" s="15"/>
      <c r="J127" s="15"/>
      <c r="K127" s="15"/>
      <c r="L127" s="22"/>
      <c r="M127" s="14"/>
      <c r="N127" s="15"/>
      <c r="O127" s="15"/>
      <c r="P127" s="15"/>
      <c r="Q127" s="22"/>
      <c r="R127" s="22"/>
      <c r="S127" s="22"/>
      <c r="T127" s="22"/>
      <c r="U127" s="22"/>
      <c r="V127" s="22"/>
      <c r="W127" s="22"/>
      <c r="X127" s="22"/>
      <c r="Y127" s="22"/>
      <c r="Z127" s="22"/>
      <c r="AA127" s="22"/>
      <c r="AB127" s="22"/>
      <c r="AC127" s="22"/>
      <c r="AD127" s="22"/>
      <c r="AE127" s="239">
        <f t="shared" si="49"/>
        <v>159900.01</v>
      </c>
      <c r="AF127" s="239">
        <v>21688</v>
      </c>
      <c r="AG127" s="22"/>
      <c r="AH127" s="22"/>
      <c r="AI127" s="22"/>
      <c r="AJ127" s="22"/>
      <c r="AK127" s="22"/>
      <c r="AL127" s="22"/>
      <c r="AM127" s="22"/>
    </row>
    <row r="128" spans="1:39" x14ac:dyDescent="0.2">
      <c r="A128" s="14"/>
      <c r="B128" s="15"/>
      <c r="C128" s="15"/>
      <c r="D128" s="15"/>
      <c r="E128" s="15"/>
      <c r="F128" s="15"/>
      <c r="G128" s="15"/>
      <c r="H128" s="15"/>
      <c r="I128" s="15"/>
      <c r="J128" s="15"/>
      <c r="K128" s="15"/>
      <c r="L128" s="22"/>
      <c r="M128" s="14"/>
      <c r="N128" s="15"/>
      <c r="O128" s="15"/>
      <c r="P128" s="15"/>
      <c r="Q128" s="22"/>
      <c r="R128" s="22"/>
      <c r="S128" s="22"/>
      <c r="T128" s="22"/>
      <c r="U128" s="22"/>
      <c r="V128" s="22"/>
      <c r="W128" s="22"/>
      <c r="X128" s="22"/>
      <c r="Y128" s="22"/>
      <c r="Z128" s="22"/>
      <c r="AA128" s="22"/>
      <c r="AB128" s="22"/>
      <c r="AC128" s="22"/>
      <c r="AD128" s="22"/>
      <c r="AE128" s="239">
        <f t="shared" si="49"/>
        <v>160000.01</v>
      </c>
      <c r="AF128" s="239">
        <v>21507</v>
      </c>
      <c r="AG128" s="22"/>
      <c r="AH128" s="22"/>
      <c r="AI128" s="22"/>
      <c r="AJ128" s="22"/>
      <c r="AK128" s="22"/>
      <c r="AL128" s="22"/>
      <c r="AM128" s="22"/>
    </row>
    <row r="129" spans="1:39" x14ac:dyDescent="0.2">
      <c r="A129" s="14"/>
      <c r="B129" s="15"/>
      <c r="C129" s="15"/>
      <c r="D129" s="15"/>
      <c r="E129" s="15"/>
      <c r="F129" s="15"/>
      <c r="G129" s="15"/>
      <c r="H129" s="15"/>
      <c r="I129" s="15"/>
      <c r="J129" s="15"/>
      <c r="K129" s="15"/>
      <c r="L129" s="22"/>
      <c r="M129" s="14"/>
      <c r="N129" s="15"/>
      <c r="O129" s="15"/>
      <c r="P129" s="15"/>
      <c r="Q129" s="22"/>
      <c r="R129" s="22"/>
      <c r="S129" s="22"/>
      <c r="T129" s="22"/>
      <c r="U129" s="22"/>
      <c r="V129" s="22"/>
      <c r="W129" s="22"/>
      <c r="X129" s="22"/>
      <c r="Y129" s="22"/>
      <c r="Z129" s="22"/>
      <c r="AA129" s="22"/>
      <c r="AB129" s="22"/>
      <c r="AC129" s="22"/>
      <c r="AD129" s="22"/>
      <c r="AE129" s="239">
        <f t="shared" si="49"/>
        <v>160100.01</v>
      </c>
      <c r="AF129" s="239">
        <v>21327</v>
      </c>
      <c r="AG129" s="22"/>
      <c r="AH129" s="22"/>
      <c r="AI129" s="22"/>
      <c r="AJ129" s="22"/>
      <c r="AK129" s="22"/>
      <c r="AL129" s="22"/>
      <c r="AM129" s="22"/>
    </row>
    <row r="130" spans="1:39" x14ac:dyDescent="0.2">
      <c r="A130" s="14"/>
      <c r="B130" s="15"/>
      <c r="C130" s="15"/>
      <c r="D130" s="15"/>
      <c r="E130" s="15"/>
      <c r="F130" s="15"/>
      <c r="G130" s="15"/>
      <c r="H130" s="15"/>
      <c r="I130" s="15"/>
      <c r="J130" s="15"/>
      <c r="K130" s="15"/>
      <c r="L130" s="22"/>
      <c r="M130" s="14"/>
      <c r="N130" s="15"/>
      <c r="O130" s="15"/>
      <c r="P130" s="15"/>
      <c r="Q130" s="22"/>
      <c r="R130" s="22"/>
      <c r="S130" s="22"/>
      <c r="T130" s="22"/>
      <c r="U130" s="22"/>
      <c r="V130" s="22"/>
      <c r="W130" s="22"/>
      <c r="X130" s="22"/>
      <c r="Y130" s="22"/>
      <c r="Z130" s="22"/>
      <c r="AA130" s="22"/>
      <c r="AB130" s="22"/>
      <c r="AC130" s="22"/>
      <c r="AD130" s="22"/>
      <c r="AE130" s="239">
        <f t="shared" si="49"/>
        <v>160200.01</v>
      </c>
      <c r="AF130" s="239">
        <v>21147</v>
      </c>
      <c r="AG130" s="22"/>
      <c r="AH130" s="22"/>
      <c r="AI130" s="22"/>
      <c r="AJ130" s="22"/>
      <c r="AK130" s="22"/>
      <c r="AL130" s="22"/>
      <c r="AM130" s="22"/>
    </row>
    <row r="131" spans="1:39" x14ac:dyDescent="0.2">
      <c r="A131" s="14"/>
      <c r="B131" s="15"/>
      <c r="C131" s="15"/>
      <c r="D131" s="15"/>
      <c r="E131" s="15"/>
      <c r="F131" s="15"/>
      <c r="G131" s="15"/>
      <c r="H131" s="15"/>
      <c r="I131" s="15"/>
      <c r="J131" s="15"/>
      <c r="K131" s="15"/>
      <c r="L131" s="22"/>
      <c r="M131" s="14"/>
      <c r="N131" s="15"/>
      <c r="O131" s="15"/>
      <c r="P131" s="15"/>
      <c r="Q131" s="22"/>
      <c r="R131" s="22"/>
      <c r="S131" s="22"/>
      <c r="T131" s="22"/>
      <c r="U131" s="22"/>
      <c r="V131" s="22"/>
      <c r="W131" s="22"/>
      <c r="X131" s="22"/>
      <c r="Y131" s="22"/>
      <c r="Z131" s="22"/>
      <c r="AA131" s="22"/>
      <c r="AB131" s="22"/>
      <c r="AC131" s="22"/>
      <c r="AD131" s="22"/>
      <c r="AE131" s="239">
        <f t="shared" si="49"/>
        <v>160300.01</v>
      </c>
      <c r="AF131" s="239">
        <v>20968</v>
      </c>
      <c r="AG131" s="22"/>
      <c r="AH131" s="22"/>
      <c r="AI131" s="22"/>
      <c r="AJ131" s="22"/>
      <c r="AK131" s="22"/>
      <c r="AL131" s="22"/>
      <c r="AM131" s="22"/>
    </row>
    <row r="132" spans="1:39" x14ac:dyDescent="0.2">
      <c r="A132" s="14"/>
      <c r="B132" s="15"/>
      <c r="C132" s="15"/>
      <c r="D132" s="15"/>
      <c r="E132" s="15"/>
      <c r="F132" s="15"/>
      <c r="G132" s="15"/>
      <c r="H132" s="15"/>
      <c r="I132" s="15"/>
      <c r="J132" s="15"/>
      <c r="K132" s="15"/>
      <c r="L132" s="22"/>
      <c r="M132" s="14"/>
      <c r="N132" s="15"/>
      <c r="O132" s="15"/>
      <c r="P132" s="15"/>
      <c r="Q132" s="22"/>
      <c r="R132" s="22"/>
      <c r="S132" s="22"/>
      <c r="T132" s="22"/>
      <c r="U132" s="22"/>
      <c r="V132" s="22"/>
      <c r="W132" s="22"/>
      <c r="X132" s="22"/>
      <c r="Y132" s="22"/>
      <c r="Z132" s="22"/>
      <c r="AA132" s="22"/>
      <c r="AB132" s="22"/>
      <c r="AC132" s="22"/>
      <c r="AD132" s="22"/>
      <c r="AE132" s="239">
        <f t="shared" si="49"/>
        <v>160400.01</v>
      </c>
      <c r="AF132" s="239">
        <v>20788</v>
      </c>
      <c r="AG132" s="22"/>
      <c r="AH132" s="22"/>
      <c r="AI132" s="22"/>
      <c r="AJ132" s="22"/>
      <c r="AK132" s="22"/>
      <c r="AL132" s="22"/>
      <c r="AM132" s="22"/>
    </row>
    <row r="133" spans="1:39" x14ac:dyDescent="0.2">
      <c r="A133" s="14"/>
      <c r="B133" s="15"/>
      <c r="C133" s="15"/>
      <c r="D133" s="15"/>
      <c r="E133" s="15"/>
      <c r="F133" s="15"/>
      <c r="G133" s="15"/>
      <c r="H133" s="15"/>
      <c r="I133" s="15"/>
      <c r="J133" s="15"/>
      <c r="K133" s="15"/>
      <c r="L133" s="22"/>
      <c r="M133" s="14"/>
      <c r="N133" s="15"/>
      <c r="O133" s="15"/>
      <c r="P133" s="15"/>
      <c r="Q133" s="22"/>
      <c r="R133" s="22"/>
      <c r="S133" s="22"/>
      <c r="T133" s="22"/>
      <c r="U133" s="22"/>
      <c r="V133" s="22"/>
      <c r="W133" s="22"/>
      <c r="X133" s="22"/>
      <c r="Y133" s="22"/>
      <c r="Z133" s="22"/>
      <c r="AA133" s="22"/>
      <c r="AB133" s="22"/>
      <c r="AC133" s="22"/>
      <c r="AD133" s="22"/>
      <c r="AE133" s="239">
        <f t="shared" si="49"/>
        <v>160500.01</v>
      </c>
      <c r="AF133" s="239">
        <v>20609</v>
      </c>
      <c r="AG133" s="22"/>
      <c r="AH133" s="22"/>
      <c r="AI133" s="22"/>
      <c r="AJ133" s="22"/>
      <c r="AK133" s="22"/>
      <c r="AL133" s="22"/>
      <c r="AM133" s="22"/>
    </row>
    <row r="134" spans="1:39" x14ac:dyDescent="0.2">
      <c r="A134" s="14"/>
      <c r="B134" s="15"/>
      <c r="C134" s="15"/>
      <c r="D134" s="15"/>
      <c r="E134" s="15"/>
      <c r="F134" s="15"/>
      <c r="G134" s="15"/>
      <c r="H134" s="15"/>
      <c r="I134" s="15"/>
      <c r="J134" s="15"/>
      <c r="K134" s="15"/>
      <c r="L134" s="22"/>
      <c r="M134" s="14"/>
      <c r="N134" s="15"/>
      <c r="O134" s="15"/>
      <c r="P134" s="15"/>
      <c r="Q134" s="22"/>
      <c r="R134" s="22"/>
      <c r="S134" s="22"/>
      <c r="T134" s="22"/>
      <c r="U134" s="22"/>
      <c r="V134" s="22"/>
      <c r="W134" s="22"/>
      <c r="X134" s="22"/>
      <c r="Y134" s="22"/>
      <c r="Z134" s="22"/>
      <c r="AA134" s="22"/>
      <c r="AB134" s="22"/>
      <c r="AC134" s="22"/>
      <c r="AD134" s="22"/>
      <c r="AE134" s="239">
        <f t="shared" si="49"/>
        <v>160600.01</v>
      </c>
      <c r="AF134" s="239">
        <v>20430</v>
      </c>
      <c r="AG134" s="22"/>
      <c r="AH134" s="22"/>
      <c r="AI134" s="22"/>
      <c r="AJ134" s="22"/>
      <c r="AK134" s="22"/>
      <c r="AL134" s="22"/>
      <c r="AM134" s="22"/>
    </row>
    <row r="135" spans="1:39" x14ac:dyDescent="0.2">
      <c r="A135" s="14"/>
      <c r="B135" s="15"/>
      <c r="C135" s="15"/>
      <c r="D135" s="15"/>
      <c r="E135" s="15"/>
      <c r="F135" s="15"/>
      <c r="G135" s="15"/>
      <c r="H135" s="15"/>
      <c r="I135" s="15"/>
      <c r="J135" s="15"/>
      <c r="K135" s="15"/>
      <c r="L135" s="22"/>
      <c r="M135" s="14"/>
      <c r="N135" s="15"/>
      <c r="O135" s="15"/>
      <c r="P135" s="15"/>
      <c r="Q135" s="22"/>
      <c r="R135" s="22"/>
      <c r="S135" s="22"/>
      <c r="T135" s="22"/>
      <c r="U135" s="22"/>
      <c r="V135" s="22"/>
      <c r="W135" s="22"/>
      <c r="X135" s="22"/>
      <c r="Y135" s="22"/>
      <c r="Z135" s="22"/>
      <c r="AA135" s="22"/>
      <c r="AB135" s="22"/>
      <c r="AC135" s="22"/>
      <c r="AD135" s="22"/>
      <c r="AE135" s="239">
        <f t="shared" si="49"/>
        <v>160700.01</v>
      </c>
      <c r="AF135" s="239">
        <v>20252</v>
      </c>
      <c r="AG135" s="22"/>
      <c r="AH135" s="22"/>
      <c r="AI135" s="22"/>
      <c r="AJ135" s="22"/>
      <c r="AK135" s="22"/>
      <c r="AL135" s="22"/>
      <c r="AM135" s="22"/>
    </row>
    <row r="136" spans="1:39" x14ac:dyDescent="0.2">
      <c r="A136" s="14"/>
      <c r="B136" s="15"/>
      <c r="C136" s="15"/>
      <c r="D136" s="15"/>
      <c r="E136" s="15"/>
      <c r="F136" s="15"/>
      <c r="G136" s="15"/>
      <c r="H136" s="15"/>
      <c r="I136" s="15"/>
      <c r="J136" s="15"/>
      <c r="K136" s="15"/>
      <c r="L136" s="22"/>
      <c r="M136" s="14"/>
      <c r="N136" s="15"/>
      <c r="O136" s="15"/>
      <c r="P136" s="15"/>
      <c r="Q136" s="22"/>
      <c r="R136" s="22"/>
      <c r="S136" s="22"/>
      <c r="T136" s="22"/>
      <c r="U136" s="22"/>
      <c r="V136" s="22"/>
      <c r="W136" s="22"/>
      <c r="X136" s="22"/>
      <c r="Y136" s="22"/>
      <c r="Z136" s="22"/>
      <c r="AA136" s="22"/>
      <c r="AB136" s="22"/>
      <c r="AC136" s="22"/>
      <c r="AD136" s="22"/>
      <c r="AE136" s="239">
        <f t="shared" si="49"/>
        <v>160800.01</v>
      </c>
      <c r="AF136" s="239">
        <v>20074</v>
      </c>
      <c r="AG136" s="22"/>
      <c r="AH136" s="22"/>
      <c r="AI136" s="22"/>
      <c r="AJ136" s="22"/>
      <c r="AK136" s="22"/>
      <c r="AL136" s="22"/>
      <c r="AM136" s="22"/>
    </row>
    <row r="137" spans="1:39" x14ac:dyDescent="0.2">
      <c r="A137" s="14"/>
      <c r="B137" s="15"/>
      <c r="C137" s="15"/>
      <c r="D137" s="15"/>
      <c r="E137" s="15"/>
      <c r="F137" s="15"/>
      <c r="G137" s="15"/>
      <c r="H137" s="15"/>
      <c r="I137" s="15"/>
      <c r="J137" s="15"/>
      <c r="K137" s="15"/>
      <c r="L137" s="22"/>
      <c r="M137" s="14"/>
      <c r="N137" s="15"/>
      <c r="O137" s="15"/>
      <c r="P137" s="15"/>
      <c r="Q137" s="22"/>
      <c r="R137" s="22"/>
      <c r="S137" s="22"/>
      <c r="T137" s="22"/>
      <c r="U137" s="22"/>
      <c r="V137" s="22"/>
      <c r="W137" s="22"/>
      <c r="X137" s="22"/>
      <c r="Y137" s="22"/>
      <c r="Z137" s="22"/>
      <c r="AA137" s="22"/>
      <c r="AB137" s="22"/>
      <c r="AC137" s="22"/>
      <c r="AD137" s="22"/>
      <c r="AE137" s="239">
        <f t="shared" si="49"/>
        <v>160900.01</v>
      </c>
      <c r="AF137" s="239">
        <v>19896</v>
      </c>
      <c r="AG137" s="22"/>
      <c r="AH137" s="22"/>
      <c r="AI137" s="22"/>
      <c r="AJ137" s="22"/>
      <c r="AK137" s="22"/>
      <c r="AL137" s="22"/>
      <c r="AM137" s="22"/>
    </row>
    <row r="138" spans="1:39" x14ac:dyDescent="0.2">
      <c r="A138" s="14"/>
      <c r="B138" s="15"/>
      <c r="C138" s="49"/>
      <c r="D138" s="15"/>
      <c r="E138" s="15"/>
      <c r="F138" s="15"/>
      <c r="G138" s="15"/>
      <c r="H138" s="15"/>
      <c r="I138" s="15"/>
      <c r="J138" s="15"/>
      <c r="K138" s="15"/>
      <c r="L138" s="22"/>
      <c r="M138" s="14"/>
      <c r="N138" s="15"/>
      <c r="O138" s="15"/>
      <c r="P138" s="15"/>
      <c r="Q138" s="22"/>
      <c r="R138" s="22"/>
      <c r="S138" s="22"/>
      <c r="T138" s="22"/>
      <c r="U138" s="22"/>
      <c r="V138" s="22"/>
      <c r="W138" s="22"/>
      <c r="X138" s="22"/>
      <c r="Y138" s="22"/>
      <c r="Z138" s="22"/>
      <c r="AA138" s="22"/>
      <c r="AB138" s="22"/>
      <c r="AC138" s="22"/>
      <c r="AD138" s="22"/>
      <c r="AE138" s="239">
        <f t="shared" si="49"/>
        <v>161000.01</v>
      </c>
      <c r="AF138" s="239">
        <v>19718</v>
      </c>
      <c r="AG138" s="22"/>
      <c r="AH138" s="22"/>
      <c r="AI138" s="22"/>
      <c r="AJ138" s="22"/>
      <c r="AK138" s="22"/>
      <c r="AL138" s="22"/>
      <c r="AM138" s="22"/>
    </row>
    <row r="139" spans="1:39" x14ac:dyDescent="0.2">
      <c r="A139" s="22"/>
      <c r="B139" s="15"/>
      <c r="C139" s="15"/>
      <c r="D139" s="15"/>
      <c r="E139" s="15"/>
      <c r="F139" s="15"/>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39">
        <f t="shared" si="49"/>
        <v>161100.01</v>
      </c>
      <c r="AF139" s="239">
        <v>19541</v>
      </c>
      <c r="AG139" s="22"/>
      <c r="AH139" s="22"/>
      <c r="AI139" s="22"/>
      <c r="AJ139" s="22"/>
      <c r="AK139" s="22"/>
      <c r="AL139" s="22"/>
      <c r="AM139" s="22"/>
    </row>
    <row r="140" spans="1:39"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39">
        <f t="shared" si="49"/>
        <v>161200.01</v>
      </c>
      <c r="AF140" s="239">
        <v>19364</v>
      </c>
      <c r="AG140" s="22"/>
      <c r="AH140" s="22"/>
      <c r="AI140" s="22"/>
      <c r="AJ140" s="22"/>
      <c r="AK140" s="22"/>
      <c r="AL140" s="22"/>
      <c r="AM140" s="22"/>
    </row>
    <row r="141" spans="1:39"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39">
        <f t="shared" si="49"/>
        <v>161300.01</v>
      </c>
      <c r="AF141" s="239">
        <v>19187</v>
      </c>
      <c r="AG141" s="22"/>
      <c r="AH141" s="22"/>
      <c r="AI141" s="22"/>
      <c r="AJ141" s="22"/>
      <c r="AK141" s="22"/>
      <c r="AL141" s="22"/>
      <c r="AM141" s="22"/>
    </row>
    <row r="142" spans="1:39"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39">
        <f t="shared" si="49"/>
        <v>161400.01</v>
      </c>
      <c r="AF142" s="239">
        <v>19010</v>
      </c>
      <c r="AG142" s="22"/>
      <c r="AH142" s="22"/>
      <c r="AI142" s="22"/>
      <c r="AJ142" s="22"/>
      <c r="AK142" s="22"/>
      <c r="AL142" s="22"/>
      <c r="AM142" s="22"/>
    </row>
    <row r="143" spans="1:39"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39">
        <f t="shared" si="49"/>
        <v>161500.01</v>
      </c>
      <c r="AF143" s="239">
        <v>18834</v>
      </c>
      <c r="AG143" s="22"/>
      <c r="AH143" s="22"/>
      <c r="AI143" s="22"/>
      <c r="AJ143" s="22"/>
      <c r="AK143" s="22"/>
      <c r="AL143" s="22"/>
      <c r="AM143" s="22"/>
    </row>
    <row r="144" spans="1:39"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39">
        <f t="shared" si="49"/>
        <v>161600.01</v>
      </c>
      <c r="AF144" s="239">
        <v>18658</v>
      </c>
      <c r="AG144" s="22"/>
      <c r="AH144" s="22"/>
      <c r="AI144" s="22"/>
      <c r="AJ144" s="22"/>
      <c r="AK144" s="22"/>
      <c r="AL144" s="22"/>
      <c r="AM144" s="22"/>
    </row>
    <row r="145" spans="1:39"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39">
        <f t="shared" si="49"/>
        <v>161700.01</v>
      </c>
      <c r="AF145" s="239">
        <v>18482</v>
      </c>
      <c r="AG145" s="22"/>
      <c r="AH145" s="22"/>
      <c r="AI145" s="22"/>
      <c r="AJ145" s="22"/>
      <c r="AK145" s="22"/>
      <c r="AL145" s="22"/>
      <c r="AM145" s="22"/>
    </row>
    <row r="146" spans="1:39"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39">
        <f t="shared" si="49"/>
        <v>161800.01</v>
      </c>
      <c r="AF146" s="239">
        <v>18307</v>
      </c>
      <c r="AG146" s="22"/>
      <c r="AH146" s="22"/>
      <c r="AI146" s="22"/>
      <c r="AJ146" s="22"/>
      <c r="AK146" s="22"/>
      <c r="AL146" s="22"/>
      <c r="AM146" s="22"/>
    </row>
    <row r="147" spans="1:39"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39">
        <f t="shared" si="49"/>
        <v>161900.01</v>
      </c>
      <c r="AF147" s="239">
        <v>18132</v>
      </c>
      <c r="AG147" s="22"/>
      <c r="AH147" s="22"/>
      <c r="AI147" s="22"/>
      <c r="AJ147" s="22"/>
      <c r="AK147" s="22"/>
      <c r="AL147" s="22"/>
      <c r="AM147" s="22"/>
    </row>
    <row r="148" spans="1:39"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39">
        <f t="shared" si="49"/>
        <v>162000.01</v>
      </c>
      <c r="AF148" s="239">
        <v>17957</v>
      </c>
      <c r="AG148" s="22"/>
      <c r="AH148" s="22"/>
      <c r="AI148" s="22"/>
      <c r="AJ148" s="22"/>
      <c r="AK148" s="22"/>
      <c r="AL148" s="22"/>
      <c r="AM148" s="22"/>
    </row>
    <row r="149" spans="1:39"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39">
        <f t="shared" si="49"/>
        <v>162100.01</v>
      </c>
      <c r="AF149" s="239">
        <v>17782</v>
      </c>
      <c r="AG149" s="22"/>
      <c r="AH149" s="22"/>
      <c r="AI149" s="22"/>
      <c r="AJ149" s="22"/>
      <c r="AK149" s="22"/>
      <c r="AL149" s="22"/>
      <c r="AM149" s="22"/>
    </row>
    <row r="150" spans="1:39"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39">
        <f t="shared" si="49"/>
        <v>162200.01</v>
      </c>
      <c r="AF150" s="239">
        <v>17607</v>
      </c>
      <c r="AG150" s="22"/>
      <c r="AH150" s="22"/>
      <c r="AI150" s="22"/>
      <c r="AJ150" s="22"/>
      <c r="AK150" s="22"/>
      <c r="AL150" s="22"/>
      <c r="AM150" s="22"/>
    </row>
    <row r="151" spans="1:39"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39">
        <f t="shared" si="49"/>
        <v>162300.01</v>
      </c>
      <c r="AF151" s="239">
        <v>17433</v>
      </c>
      <c r="AG151" s="22"/>
      <c r="AH151" s="22"/>
      <c r="AI151" s="22"/>
      <c r="AJ151" s="22"/>
      <c r="AK151" s="22"/>
      <c r="AL151" s="22"/>
      <c r="AM151" s="22"/>
    </row>
    <row r="152" spans="1:39"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39">
        <f t="shared" si="49"/>
        <v>162400.01</v>
      </c>
      <c r="AF152" s="239">
        <v>17259</v>
      </c>
      <c r="AG152" s="22"/>
      <c r="AH152" s="22"/>
      <c r="AI152" s="22"/>
      <c r="AJ152" s="22"/>
      <c r="AK152" s="22"/>
      <c r="AL152" s="22"/>
      <c r="AM152" s="22"/>
    </row>
    <row r="153" spans="1:39"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39">
        <f t="shared" si="49"/>
        <v>162500.01</v>
      </c>
      <c r="AF153" s="239">
        <v>17085</v>
      </c>
      <c r="AG153" s="22"/>
      <c r="AH153" s="22"/>
      <c r="AI153" s="22"/>
      <c r="AJ153" s="22"/>
      <c r="AK153" s="22"/>
      <c r="AL153" s="22"/>
      <c r="AM153" s="22"/>
    </row>
    <row r="154" spans="1:39"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39">
        <f t="shared" si="49"/>
        <v>162600.01</v>
      </c>
      <c r="AF154" s="239">
        <v>16911</v>
      </c>
      <c r="AG154" s="22"/>
      <c r="AH154" s="22"/>
      <c r="AI154" s="22"/>
      <c r="AJ154" s="22"/>
      <c r="AK154" s="22"/>
      <c r="AL154" s="22"/>
      <c r="AM154" s="22"/>
    </row>
    <row r="155" spans="1:39"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39">
        <f t="shared" si="49"/>
        <v>162700.01</v>
      </c>
      <c r="AF155" s="239">
        <v>16738</v>
      </c>
      <c r="AG155" s="22"/>
      <c r="AH155" s="22"/>
      <c r="AI155" s="22"/>
      <c r="AJ155" s="22"/>
      <c r="AK155" s="22"/>
      <c r="AL155" s="22"/>
      <c r="AM155" s="22"/>
    </row>
    <row r="156" spans="1:39"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39">
        <f t="shared" si="49"/>
        <v>162800.01</v>
      </c>
      <c r="AF156" s="239">
        <v>16565</v>
      </c>
      <c r="AG156" s="22"/>
      <c r="AH156" s="22"/>
      <c r="AI156" s="22"/>
      <c r="AJ156" s="22"/>
      <c r="AK156" s="22"/>
      <c r="AL156" s="22"/>
      <c r="AM156" s="22"/>
    </row>
    <row r="157" spans="1:39"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39">
        <f t="shared" si="49"/>
        <v>162900.01</v>
      </c>
      <c r="AF157" s="239">
        <v>16392</v>
      </c>
      <c r="AG157" s="22"/>
      <c r="AH157" s="22"/>
      <c r="AI157" s="22"/>
      <c r="AJ157" s="22"/>
      <c r="AK157" s="22"/>
      <c r="AL157" s="22"/>
      <c r="AM157" s="22"/>
    </row>
    <row r="158" spans="1:39"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39">
        <f t="shared" ref="AE158:AE221" si="50">+AE157+100</f>
        <v>163000.01</v>
      </c>
      <c r="AF158" s="239">
        <v>16219</v>
      </c>
      <c r="AG158" s="22"/>
      <c r="AH158" s="22"/>
      <c r="AI158" s="22"/>
      <c r="AJ158" s="22"/>
      <c r="AK158" s="22"/>
      <c r="AL158" s="22"/>
      <c r="AM158" s="22"/>
    </row>
    <row r="159" spans="1:39"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39">
        <f t="shared" si="50"/>
        <v>163100.01</v>
      </c>
      <c r="AF159" s="239">
        <v>16047</v>
      </c>
      <c r="AG159" s="22"/>
      <c r="AH159" s="22"/>
      <c r="AI159" s="22"/>
      <c r="AJ159" s="22"/>
      <c r="AK159" s="22"/>
      <c r="AL159" s="22"/>
      <c r="AM159" s="22"/>
    </row>
    <row r="160" spans="1:39"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39">
        <f t="shared" si="50"/>
        <v>163200.01</v>
      </c>
      <c r="AF160" s="239">
        <v>15875</v>
      </c>
      <c r="AG160" s="22"/>
      <c r="AH160" s="22"/>
      <c r="AI160" s="22"/>
      <c r="AJ160" s="22"/>
      <c r="AK160" s="22"/>
      <c r="AL160" s="22"/>
      <c r="AM160" s="22"/>
    </row>
    <row r="161" spans="1:39"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39">
        <f t="shared" si="50"/>
        <v>163300.01</v>
      </c>
      <c r="AF161" s="239">
        <v>15703</v>
      </c>
      <c r="AG161" s="22"/>
      <c r="AH161" s="22"/>
      <c r="AI161" s="22"/>
      <c r="AJ161" s="22"/>
      <c r="AK161" s="22"/>
      <c r="AL161" s="22"/>
      <c r="AM161" s="22"/>
    </row>
    <row r="162" spans="1:39"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39">
        <f t="shared" si="50"/>
        <v>163400.01</v>
      </c>
      <c r="AF162" s="239">
        <v>15531</v>
      </c>
      <c r="AG162" s="22"/>
      <c r="AH162" s="22"/>
      <c r="AI162" s="22"/>
      <c r="AJ162" s="22"/>
      <c r="AK162" s="22"/>
      <c r="AL162" s="22"/>
      <c r="AM162" s="22"/>
    </row>
    <row r="163" spans="1:39"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39">
        <f t="shared" si="50"/>
        <v>163500.01</v>
      </c>
      <c r="AF163" s="239">
        <v>15359</v>
      </c>
      <c r="AG163" s="22"/>
      <c r="AH163" s="22"/>
      <c r="AI163" s="22"/>
      <c r="AJ163" s="22"/>
      <c r="AK163" s="22"/>
      <c r="AL163" s="22"/>
      <c r="AM163" s="22"/>
    </row>
    <row r="164" spans="1:39"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39">
        <f t="shared" si="50"/>
        <v>163600.01</v>
      </c>
      <c r="AF164" s="239">
        <v>15188</v>
      </c>
      <c r="AG164" s="22"/>
      <c r="AH164" s="22"/>
      <c r="AI164" s="22"/>
      <c r="AJ164" s="22"/>
      <c r="AK164" s="22"/>
      <c r="AL164" s="22"/>
      <c r="AM164" s="22"/>
    </row>
    <row r="165" spans="1:39"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39">
        <f t="shared" si="50"/>
        <v>163700.01</v>
      </c>
      <c r="AF165" s="239">
        <v>15017</v>
      </c>
      <c r="AG165" s="22"/>
      <c r="AH165" s="22"/>
      <c r="AI165" s="22"/>
      <c r="AJ165" s="22"/>
      <c r="AK165" s="22"/>
      <c r="AL165" s="22"/>
      <c r="AM165" s="22"/>
    </row>
    <row r="166" spans="1:39"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39">
        <f t="shared" si="50"/>
        <v>163800.01</v>
      </c>
      <c r="AF166" s="239">
        <v>14846</v>
      </c>
      <c r="AG166" s="22"/>
      <c r="AH166" s="22"/>
      <c r="AI166" s="22"/>
      <c r="AJ166" s="22"/>
      <c r="AK166" s="22"/>
      <c r="AL166" s="22"/>
      <c r="AM166" s="22"/>
    </row>
    <row r="167" spans="1:39"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39">
        <f t="shared" si="50"/>
        <v>163900.01</v>
      </c>
      <c r="AF167" s="239">
        <v>14675</v>
      </c>
      <c r="AG167" s="22"/>
      <c r="AH167" s="22"/>
      <c r="AI167" s="22"/>
      <c r="AJ167" s="22"/>
      <c r="AK167" s="22"/>
      <c r="AL167" s="22"/>
      <c r="AM167" s="22"/>
    </row>
    <row r="168" spans="1:39"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39">
        <f t="shared" si="50"/>
        <v>164000.01</v>
      </c>
      <c r="AF168" s="239">
        <v>14505</v>
      </c>
      <c r="AG168" s="22"/>
      <c r="AH168" s="22"/>
      <c r="AI168" s="22"/>
      <c r="AJ168" s="22"/>
      <c r="AK168" s="22"/>
      <c r="AL168" s="22"/>
      <c r="AM168" s="22"/>
    </row>
    <row r="169" spans="1:39"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39">
        <f t="shared" si="50"/>
        <v>164100.01</v>
      </c>
      <c r="AF169" s="239">
        <v>14334</v>
      </c>
      <c r="AG169" s="22"/>
      <c r="AH169" s="22"/>
      <c r="AI169" s="22"/>
      <c r="AJ169" s="22"/>
      <c r="AK169" s="22"/>
      <c r="AL169" s="22"/>
      <c r="AM169" s="22"/>
    </row>
    <row r="170" spans="1:39"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39">
        <f t="shared" si="50"/>
        <v>164200.01</v>
      </c>
      <c r="AF170" s="239">
        <v>14164</v>
      </c>
      <c r="AG170" s="22"/>
      <c r="AH170" s="22"/>
      <c r="AI170" s="22"/>
      <c r="AJ170" s="22"/>
      <c r="AK170" s="22"/>
      <c r="AL170" s="22"/>
      <c r="AM170" s="22"/>
    </row>
    <row r="171" spans="1:39"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39">
        <f t="shared" si="50"/>
        <v>164300.01</v>
      </c>
      <c r="AF171" s="239">
        <v>13994</v>
      </c>
      <c r="AG171" s="22"/>
      <c r="AH171" s="22"/>
      <c r="AI171" s="22"/>
      <c r="AJ171" s="22"/>
      <c r="AK171" s="22"/>
      <c r="AL171" s="22"/>
      <c r="AM171" s="22"/>
    </row>
    <row r="172" spans="1:39"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39">
        <f t="shared" si="50"/>
        <v>164400.01</v>
      </c>
      <c r="AF172" s="239">
        <v>13824</v>
      </c>
      <c r="AG172" s="22"/>
      <c r="AH172" s="22"/>
      <c r="AI172" s="22"/>
      <c r="AJ172" s="22"/>
      <c r="AK172" s="22"/>
      <c r="AL172" s="22"/>
      <c r="AM172" s="22"/>
    </row>
    <row r="173" spans="1:39"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39">
        <f t="shared" si="50"/>
        <v>164500.01</v>
      </c>
      <c r="AF173" s="239">
        <v>13655</v>
      </c>
      <c r="AG173" s="22"/>
      <c r="AH173" s="22"/>
      <c r="AI173" s="22"/>
      <c r="AJ173" s="22"/>
      <c r="AK173" s="22"/>
      <c r="AL173" s="22"/>
      <c r="AM173" s="22"/>
    </row>
    <row r="174" spans="1:39"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39">
        <f t="shared" si="50"/>
        <v>164600.01</v>
      </c>
      <c r="AF174" s="239">
        <v>13486</v>
      </c>
      <c r="AG174" s="22"/>
      <c r="AH174" s="22"/>
      <c r="AI174" s="22"/>
      <c r="AJ174" s="22"/>
      <c r="AK174" s="22"/>
      <c r="AL174" s="22"/>
      <c r="AM174" s="22"/>
    </row>
    <row r="175" spans="1:39"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39">
        <f t="shared" si="50"/>
        <v>164700.01</v>
      </c>
      <c r="AF175" s="239">
        <v>13317</v>
      </c>
      <c r="AG175" s="22"/>
      <c r="AH175" s="22"/>
      <c r="AI175" s="22"/>
      <c r="AJ175" s="22"/>
      <c r="AK175" s="22"/>
      <c r="AL175" s="22"/>
      <c r="AM175" s="22"/>
    </row>
    <row r="176" spans="1:39"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39">
        <f t="shared" si="50"/>
        <v>164800.01</v>
      </c>
      <c r="AF176" s="239">
        <v>13148</v>
      </c>
      <c r="AG176" s="22"/>
      <c r="AH176" s="22"/>
      <c r="AI176" s="22"/>
      <c r="AJ176" s="22"/>
      <c r="AK176" s="22"/>
      <c r="AL176" s="22"/>
      <c r="AM176" s="22"/>
    </row>
    <row r="177" spans="1:39"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39">
        <f t="shared" si="50"/>
        <v>164900.01</v>
      </c>
      <c r="AF177" s="239">
        <v>12979</v>
      </c>
      <c r="AG177" s="22"/>
      <c r="AH177" s="22"/>
      <c r="AI177" s="22"/>
      <c r="AJ177" s="22"/>
      <c r="AK177" s="22"/>
      <c r="AL177" s="22"/>
      <c r="AM177" s="22"/>
    </row>
    <row r="178" spans="1:39"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39">
        <f t="shared" si="50"/>
        <v>165000.01</v>
      </c>
      <c r="AF178" s="239">
        <v>12810</v>
      </c>
      <c r="AG178" s="22"/>
      <c r="AH178" s="22"/>
      <c r="AI178" s="22"/>
      <c r="AJ178" s="22"/>
      <c r="AK178" s="22"/>
      <c r="AL178" s="22"/>
      <c r="AM178" s="22"/>
    </row>
    <row r="179" spans="1:39"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39">
        <f t="shared" si="50"/>
        <v>165100.01</v>
      </c>
      <c r="AF179" s="239">
        <v>12642</v>
      </c>
      <c r="AG179" s="22"/>
      <c r="AH179" s="22"/>
      <c r="AI179" s="22"/>
      <c r="AJ179" s="22"/>
      <c r="AK179" s="22"/>
      <c r="AL179" s="22"/>
      <c r="AM179" s="22"/>
    </row>
    <row r="180" spans="1:39"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39">
        <f t="shared" si="50"/>
        <v>165200.01</v>
      </c>
      <c r="AF180" s="239">
        <v>12474</v>
      </c>
      <c r="AG180" s="22"/>
      <c r="AH180" s="22"/>
      <c r="AI180" s="22"/>
      <c r="AJ180" s="22"/>
      <c r="AK180" s="22"/>
      <c r="AL180" s="22"/>
      <c r="AM180" s="22"/>
    </row>
    <row r="181" spans="1:39"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39">
        <f t="shared" si="50"/>
        <v>165300.01</v>
      </c>
      <c r="AF181" s="239">
        <v>12306</v>
      </c>
      <c r="AG181" s="22"/>
      <c r="AH181" s="22"/>
      <c r="AI181" s="22"/>
      <c r="AJ181" s="22"/>
      <c r="AK181" s="22"/>
      <c r="AL181" s="22"/>
      <c r="AM181" s="22"/>
    </row>
    <row r="182" spans="1:39"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39">
        <f t="shared" si="50"/>
        <v>165400.01</v>
      </c>
      <c r="AF182" s="239">
        <v>12138</v>
      </c>
      <c r="AG182" s="22"/>
      <c r="AH182" s="22"/>
      <c r="AI182" s="22"/>
      <c r="AJ182" s="22"/>
      <c r="AK182" s="22"/>
      <c r="AL182" s="22"/>
      <c r="AM182" s="22"/>
    </row>
    <row r="183" spans="1:39"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39">
        <f t="shared" si="50"/>
        <v>165500.01</v>
      </c>
      <c r="AF183" s="239">
        <v>11970</v>
      </c>
      <c r="AG183" s="22"/>
      <c r="AH183" s="22"/>
      <c r="AI183" s="22"/>
      <c r="AJ183" s="22"/>
      <c r="AK183" s="22"/>
      <c r="AL183" s="22"/>
      <c r="AM183" s="22"/>
    </row>
    <row r="184" spans="1:39"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39">
        <f t="shared" si="50"/>
        <v>165600.01</v>
      </c>
      <c r="AF184" s="239">
        <v>11803</v>
      </c>
      <c r="AG184" s="22"/>
      <c r="AH184" s="22"/>
      <c r="AI184" s="22"/>
      <c r="AJ184" s="22"/>
      <c r="AK184" s="22"/>
      <c r="AL184" s="22"/>
      <c r="AM184" s="22"/>
    </row>
    <row r="185" spans="1:39"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39">
        <f t="shared" si="50"/>
        <v>165700.01</v>
      </c>
      <c r="AF185" s="239">
        <v>11636</v>
      </c>
      <c r="AG185" s="22"/>
      <c r="AH185" s="22"/>
      <c r="AI185" s="22"/>
      <c r="AJ185" s="22"/>
      <c r="AK185" s="22"/>
      <c r="AL185" s="22"/>
      <c r="AM185" s="22"/>
    </row>
    <row r="186" spans="1:39"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39">
        <f t="shared" si="50"/>
        <v>165800.01</v>
      </c>
      <c r="AF186" s="239">
        <v>11469</v>
      </c>
      <c r="AG186" s="22"/>
      <c r="AH186" s="22"/>
      <c r="AI186" s="22"/>
      <c r="AJ186" s="22"/>
      <c r="AK186" s="22"/>
      <c r="AL186" s="22"/>
      <c r="AM186" s="22"/>
    </row>
    <row r="187" spans="1:39"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39">
        <f t="shared" si="50"/>
        <v>165900.01</v>
      </c>
      <c r="AF187" s="239">
        <v>11302</v>
      </c>
      <c r="AG187" s="22"/>
      <c r="AH187" s="22"/>
      <c r="AI187" s="22"/>
      <c r="AJ187" s="22"/>
      <c r="AK187" s="22"/>
      <c r="AL187" s="22"/>
      <c r="AM187" s="22"/>
    </row>
    <row r="188" spans="1:39"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39">
        <f t="shared" si="50"/>
        <v>166000.01</v>
      </c>
      <c r="AF188" s="239">
        <v>11135</v>
      </c>
      <c r="AG188" s="22"/>
      <c r="AH188" s="22"/>
      <c r="AI188" s="22"/>
      <c r="AJ188" s="22"/>
      <c r="AK188" s="22"/>
      <c r="AL188" s="22"/>
      <c r="AM188" s="22"/>
    </row>
    <row r="189" spans="1:39"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39">
        <f t="shared" si="50"/>
        <v>166100.01</v>
      </c>
      <c r="AF189" s="239">
        <v>10969</v>
      </c>
      <c r="AG189" s="22"/>
      <c r="AH189" s="22"/>
      <c r="AI189" s="22"/>
      <c r="AJ189" s="22"/>
      <c r="AK189" s="22"/>
      <c r="AL189" s="22"/>
      <c r="AM189" s="22"/>
    </row>
    <row r="190" spans="1:39"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39">
        <f t="shared" si="50"/>
        <v>166200.01</v>
      </c>
      <c r="AF190" s="239">
        <v>10802</v>
      </c>
      <c r="AG190" s="22"/>
      <c r="AH190" s="22"/>
      <c r="AI190" s="22"/>
      <c r="AJ190" s="22"/>
      <c r="AK190" s="22"/>
      <c r="AL190" s="22"/>
      <c r="AM190" s="22"/>
    </row>
    <row r="191" spans="1:39"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39">
        <f t="shared" si="50"/>
        <v>166300.01</v>
      </c>
      <c r="AF191" s="239">
        <v>10636</v>
      </c>
      <c r="AG191" s="22"/>
      <c r="AH191" s="22"/>
      <c r="AI191" s="22"/>
      <c r="AJ191" s="22"/>
      <c r="AK191" s="22"/>
      <c r="AL191" s="22"/>
      <c r="AM191" s="22"/>
    </row>
    <row r="192" spans="1:39"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39">
        <f t="shared" si="50"/>
        <v>166400.01</v>
      </c>
      <c r="AF192" s="239">
        <v>10470</v>
      </c>
      <c r="AG192" s="22"/>
      <c r="AH192" s="22"/>
      <c r="AI192" s="22"/>
      <c r="AJ192" s="22"/>
      <c r="AK192" s="22"/>
      <c r="AL192" s="22"/>
      <c r="AM192" s="22"/>
    </row>
    <row r="193" spans="1:39"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39">
        <f t="shared" si="50"/>
        <v>166500.01</v>
      </c>
      <c r="AF193" s="239">
        <v>10304</v>
      </c>
      <c r="AG193" s="22"/>
      <c r="AH193" s="22"/>
      <c r="AI193" s="22"/>
      <c r="AJ193" s="22"/>
      <c r="AK193" s="22"/>
      <c r="AL193" s="22"/>
      <c r="AM193" s="22"/>
    </row>
    <row r="194" spans="1:39"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39">
        <f t="shared" si="50"/>
        <v>166600.01</v>
      </c>
      <c r="AF194" s="239">
        <v>10139</v>
      </c>
      <c r="AG194" s="22"/>
      <c r="AH194" s="22"/>
      <c r="AI194" s="22"/>
      <c r="AJ194" s="22"/>
      <c r="AK194" s="22"/>
      <c r="AL194" s="22"/>
      <c r="AM194" s="22"/>
    </row>
    <row r="195" spans="1:39"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39">
        <f t="shared" si="50"/>
        <v>166700.01</v>
      </c>
      <c r="AF195" s="239">
        <v>9973</v>
      </c>
      <c r="AG195" s="22"/>
      <c r="AH195" s="22"/>
      <c r="AI195" s="22"/>
      <c r="AJ195" s="22"/>
      <c r="AK195" s="22"/>
      <c r="AL195" s="22"/>
      <c r="AM195" s="22"/>
    </row>
    <row r="196" spans="1:39"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39">
        <f t="shared" si="50"/>
        <v>166800.01</v>
      </c>
      <c r="AF196" s="239">
        <v>9808</v>
      </c>
      <c r="AG196" s="22"/>
      <c r="AH196" s="22"/>
      <c r="AI196" s="22"/>
      <c r="AJ196" s="22"/>
      <c r="AK196" s="22"/>
      <c r="AL196" s="22"/>
      <c r="AM196" s="22"/>
    </row>
    <row r="197" spans="1:39"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39">
        <f t="shared" si="50"/>
        <v>166900.01</v>
      </c>
      <c r="AF197" s="239">
        <v>9643</v>
      </c>
      <c r="AG197" s="22"/>
      <c r="AH197" s="22"/>
      <c r="AI197" s="22"/>
      <c r="AJ197" s="22"/>
      <c r="AK197" s="22"/>
      <c r="AL197" s="22"/>
      <c r="AM197" s="22"/>
    </row>
    <row r="198" spans="1:39"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39">
        <f t="shared" si="50"/>
        <v>167000.01</v>
      </c>
      <c r="AF198" s="239">
        <v>9478</v>
      </c>
      <c r="AG198" s="22"/>
      <c r="AH198" s="22"/>
      <c r="AI198" s="22"/>
      <c r="AJ198" s="22"/>
      <c r="AK198" s="22"/>
      <c r="AL198" s="22"/>
      <c r="AM198" s="22"/>
    </row>
    <row r="199" spans="1:39"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39">
        <f t="shared" si="50"/>
        <v>167100.01</v>
      </c>
      <c r="AF199" s="239">
        <v>9313</v>
      </c>
      <c r="AG199" s="22"/>
      <c r="AH199" s="22"/>
      <c r="AI199" s="22"/>
      <c r="AJ199" s="22"/>
      <c r="AK199" s="22"/>
      <c r="AL199" s="22"/>
      <c r="AM199" s="22"/>
    </row>
    <row r="200" spans="1:39"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39">
        <f t="shared" si="50"/>
        <v>167200.01</v>
      </c>
      <c r="AF200" s="239">
        <v>9148</v>
      </c>
      <c r="AG200" s="22"/>
      <c r="AH200" s="22"/>
      <c r="AI200" s="22"/>
      <c r="AJ200" s="22"/>
      <c r="AK200" s="22"/>
      <c r="AL200" s="22"/>
      <c r="AM200" s="22"/>
    </row>
    <row r="201" spans="1:39"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39">
        <f t="shared" si="50"/>
        <v>167300.01</v>
      </c>
      <c r="AF201" s="239">
        <v>8983</v>
      </c>
      <c r="AG201" s="22"/>
      <c r="AH201" s="22"/>
      <c r="AI201" s="22"/>
      <c r="AJ201" s="22"/>
      <c r="AK201" s="22"/>
      <c r="AL201" s="22"/>
      <c r="AM201" s="22"/>
    </row>
    <row r="202" spans="1:39"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39">
        <f t="shared" si="50"/>
        <v>167400.01</v>
      </c>
      <c r="AF202" s="239">
        <v>8819</v>
      </c>
      <c r="AG202" s="22"/>
      <c r="AH202" s="22"/>
      <c r="AI202" s="22"/>
      <c r="AJ202" s="22"/>
      <c r="AK202" s="22"/>
      <c r="AL202" s="22"/>
      <c r="AM202" s="22"/>
    </row>
    <row r="203" spans="1:39"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39">
        <f t="shared" si="50"/>
        <v>167500.01</v>
      </c>
      <c r="AF203" s="239">
        <v>8655</v>
      </c>
      <c r="AG203" s="22"/>
      <c r="AH203" s="22"/>
      <c r="AI203" s="22"/>
      <c r="AJ203" s="22"/>
      <c r="AK203" s="22"/>
      <c r="AL203" s="22"/>
      <c r="AM203" s="22"/>
    </row>
    <row r="204" spans="1:39"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39">
        <f t="shared" si="50"/>
        <v>167600.01</v>
      </c>
      <c r="AF204" s="239">
        <v>8491</v>
      </c>
      <c r="AG204" s="22"/>
      <c r="AH204" s="22"/>
      <c r="AI204" s="22"/>
      <c r="AJ204" s="22"/>
      <c r="AK204" s="22"/>
      <c r="AL204" s="22"/>
      <c r="AM204" s="22"/>
    </row>
    <row r="205" spans="1:39"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39">
        <f t="shared" si="50"/>
        <v>167700.01</v>
      </c>
      <c r="AF205" s="239">
        <v>8327</v>
      </c>
      <c r="AG205" s="22"/>
      <c r="AH205" s="22"/>
      <c r="AI205" s="22"/>
      <c r="AJ205" s="22"/>
      <c r="AK205" s="22"/>
      <c r="AL205" s="22"/>
      <c r="AM205" s="22"/>
    </row>
    <row r="206" spans="1:39"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39">
        <f t="shared" si="50"/>
        <v>167800.01</v>
      </c>
      <c r="AF206" s="239">
        <v>8163</v>
      </c>
      <c r="AG206" s="22"/>
      <c r="AH206" s="22"/>
      <c r="AI206" s="22"/>
      <c r="AJ206" s="22"/>
      <c r="AK206" s="22"/>
      <c r="AL206" s="22"/>
      <c r="AM206" s="22"/>
    </row>
    <row r="207" spans="1:39"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39">
        <f t="shared" si="50"/>
        <v>167900.01</v>
      </c>
      <c r="AF207" s="239">
        <v>8000</v>
      </c>
      <c r="AG207" s="22"/>
      <c r="AH207" s="22"/>
      <c r="AI207" s="22"/>
      <c r="AJ207" s="22"/>
      <c r="AK207" s="22"/>
      <c r="AL207" s="22"/>
      <c r="AM207" s="22"/>
    </row>
    <row r="208" spans="1:39"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39">
        <f t="shared" si="50"/>
        <v>168000.01</v>
      </c>
      <c r="AF208" s="239">
        <v>7836</v>
      </c>
      <c r="AG208" s="22"/>
      <c r="AH208" s="22"/>
      <c r="AI208" s="22"/>
      <c r="AJ208" s="22"/>
      <c r="AK208" s="22"/>
      <c r="AL208" s="22"/>
      <c r="AM208" s="22"/>
    </row>
    <row r="209" spans="1:39"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39">
        <f t="shared" si="50"/>
        <v>168100.01</v>
      </c>
      <c r="AF209" s="239">
        <v>7673</v>
      </c>
      <c r="AG209" s="22"/>
      <c r="AH209" s="22"/>
      <c r="AI209" s="22"/>
      <c r="AJ209" s="22"/>
      <c r="AK209" s="22"/>
      <c r="AL209" s="22"/>
      <c r="AM209" s="22"/>
    </row>
    <row r="210" spans="1:39"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39">
        <f t="shared" si="50"/>
        <v>168200.01</v>
      </c>
      <c r="AF210" s="239">
        <v>7510</v>
      </c>
      <c r="AG210" s="22"/>
      <c r="AH210" s="22"/>
      <c r="AI210" s="22"/>
      <c r="AJ210" s="22"/>
      <c r="AK210" s="22"/>
      <c r="AL210" s="22"/>
      <c r="AM210" s="22"/>
    </row>
    <row r="211" spans="1:39"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39">
        <f t="shared" si="50"/>
        <v>168300.01</v>
      </c>
      <c r="AF211" s="239">
        <v>7347</v>
      </c>
      <c r="AG211" s="22"/>
      <c r="AH211" s="22"/>
      <c r="AI211" s="22"/>
      <c r="AJ211" s="22"/>
      <c r="AK211" s="22"/>
      <c r="AL211" s="22"/>
      <c r="AM211" s="22"/>
    </row>
    <row r="212" spans="1:39"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39">
        <f t="shared" si="50"/>
        <v>168400.01</v>
      </c>
      <c r="AF212" s="239">
        <v>7184</v>
      </c>
      <c r="AG212" s="22"/>
      <c r="AH212" s="22"/>
      <c r="AI212" s="22"/>
      <c r="AJ212" s="22"/>
      <c r="AK212" s="22"/>
      <c r="AL212" s="22"/>
      <c r="AM212" s="22"/>
    </row>
    <row r="213" spans="1:39"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39">
        <f t="shared" si="50"/>
        <v>168500.01</v>
      </c>
      <c r="AF213" s="239">
        <v>7022</v>
      </c>
      <c r="AG213" s="22"/>
      <c r="AH213" s="22"/>
      <c r="AI213" s="22"/>
      <c r="AJ213" s="22"/>
      <c r="AK213" s="22"/>
      <c r="AL213" s="22"/>
      <c r="AM213" s="22"/>
    </row>
    <row r="214" spans="1:39"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39">
        <f t="shared" si="50"/>
        <v>168600.01</v>
      </c>
      <c r="AF214" s="239">
        <v>6859</v>
      </c>
      <c r="AG214" s="22"/>
      <c r="AH214" s="22"/>
      <c r="AI214" s="22"/>
      <c r="AJ214" s="22"/>
      <c r="AK214" s="22"/>
      <c r="AL214" s="22"/>
      <c r="AM214" s="22"/>
    </row>
    <row r="215" spans="1:39"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39">
        <f t="shared" si="50"/>
        <v>168700.01</v>
      </c>
      <c r="AF215" s="239">
        <v>6697</v>
      </c>
      <c r="AG215" s="22"/>
      <c r="AH215" s="22"/>
      <c r="AI215" s="22"/>
      <c r="AJ215" s="22"/>
      <c r="AK215" s="22"/>
      <c r="AL215" s="22"/>
      <c r="AM215" s="22"/>
    </row>
    <row r="216" spans="1:39"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39">
        <f t="shared" si="50"/>
        <v>168800.01</v>
      </c>
      <c r="AF216" s="239">
        <v>6534</v>
      </c>
      <c r="AG216" s="22"/>
      <c r="AH216" s="22"/>
      <c r="AI216" s="22"/>
      <c r="AJ216" s="22"/>
      <c r="AK216" s="22"/>
      <c r="AL216" s="22"/>
      <c r="AM216" s="22"/>
    </row>
    <row r="217" spans="1:39"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39">
        <f t="shared" si="50"/>
        <v>168900.01</v>
      </c>
      <c r="AF217" s="239">
        <v>6372</v>
      </c>
      <c r="AG217" s="22"/>
      <c r="AH217" s="22"/>
      <c r="AI217" s="22"/>
      <c r="AJ217" s="22"/>
      <c r="AK217" s="22"/>
      <c r="AL217" s="22"/>
      <c r="AM217" s="22"/>
    </row>
    <row r="218" spans="1:39"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39">
        <f t="shared" si="50"/>
        <v>169000.01</v>
      </c>
      <c r="AF218" s="239">
        <v>6210</v>
      </c>
      <c r="AG218" s="22"/>
      <c r="AH218" s="22"/>
      <c r="AI218" s="22"/>
      <c r="AJ218" s="22"/>
      <c r="AK218" s="22"/>
      <c r="AL218" s="22"/>
      <c r="AM218" s="22"/>
    </row>
    <row r="219" spans="1:39"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39">
        <f t="shared" si="50"/>
        <v>169100.01</v>
      </c>
      <c r="AF219" s="239">
        <v>6049</v>
      </c>
      <c r="AG219" s="22"/>
      <c r="AH219" s="22"/>
      <c r="AI219" s="22"/>
      <c r="AJ219" s="22"/>
      <c r="AK219" s="22"/>
      <c r="AL219" s="22"/>
      <c r="AM219" s="22"/>
    </row>
    <row r="220" spans="1:39"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39">
        <f t="shared" si="50"/>
        <v>169200.01</v>
      </c>
      <c r="AF220" s="239">
        <v>5887</v>
      </c>
      <c r="AG220" s="22"/>
      <c r="AH220" s="22"/>
      <c r="AI220" s="22"/>
      <c r="AJ220" s="22"/>
      <c r="AK220" s="22"/>
      <c r="AL220" s="22"/>
      <c r="AM220" s="22"/>
    </row>
    <row r="221" spans="1:39"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39">
        <f t="shared" si="50"/>
        <v>169300.01</v>
      </c>
      <c r="AF221" s="239">
        <v>5726</v>
      </c>
      <c r="AG221" s="22"/>
      <c r="AH221" s="22"/>
      <c r="AI221" s="22"/>
      <c r="AJ221" s="22"/>
      <c r="AK221" s="22"/>
      <c r="AL221" s="22"/>
      <c r="AM221" s="22"/>
    </row>
    <row r="222" spans="1:39" x14ac:dyDescent="0.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39">
        <f t="shared" ref="AE222:AE257" si="51">+AE221+100</f>
        <v>169400.01</v>
      </c>
      <c r="AF222" s="239">
        <v>5564</v>
      </c>
      <c r="AG222" s="22"/>
      <c r="AH222" s="22"/>
      <c r="AI222" s="22"/>
      <c r="AJ222" s="22"/>
      <c r="AK222" s="22"/>
      <c r="AL222" s="22"/>
      <c r="AM222" s="22"/>
    </row>
    <row r="223" spans="1:39" x14ac:dyDescent="0.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39">
        <f t="shared" si="51"/>
        <v>169500.01</v>
      </c>
      <c r="AF223" s="239">
        <v>5403</v>
      </c>
      <c r="AG223" s="22"/>
      <c r="AH223" s="22"/>
      <c r="AI223" s="22"/>
      <c r="AJ223" s="22"/>
      <c r="AK223" s="22"/>
      <c r="AL223" s="22"/>
      <c r="AM223" s="22"/>
    </row>
    <row r="224" spans="1:39" x14ac:dyDescent="0.2">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39">
        <f t="shared" si="51"/>
        <v>169600.01</v>
      </c>
      <c r="AF224" s="239">
        <v>5242</v>
      </c>
      <c r="AG224" s="22"/>
      <c r="AH224" s="22"/>
      <c r="AI224" s="22"/>
      <c r="AJ224" s="22"/>
      <c r="AK224" s="22"/>
      <c r="AL224" s="22"/>
      <c r="AM224" s="22"/>
    </row>
    <row r="225" spans="1:39" x14ac:dyDescent="0.2">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39">
        <f t="shared" si="51"/>
        <v>169700.01</v>
      </c>
      <c r="AF225" s="239">
        <v>5081</v>
      </c>
      <c r="AG225" s="22"/>
      <c r="AH225" s="22"/>
      <c r="AI225" s="22"/>
      <c r="AJ225" s="22"/>
      <c r="AK225" s="22"/>
      <c r="AL225" s="22"/>
      <c r="AM225" s="22"/>
    </row>
    <row r="226" spans="1:39" x14ac:dyDescent="0.2">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39">
        <f t="shared" si="51"/>
        <v>169800.01</v>
      </c>
      <c r="AF226" s="239">
        <v>4920</v>
      </c>
      <c r="AG226" s="22"/>
      <c r="AH226" s="22"/>
      <c r="AI226" s="22"/>
      <c r="AJ226" s="22"/>
      <c r="AK226" s="22"/>
      <c r="AL226" s="22"/>
      <c r="AM226" s="22"/>
    </row>
    <row r="227" spans="1:39" x14ac:dyDescent="0.2">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39">
        <f t="shared" si="51"/>
        <v>169900.01</v>
      </c>
      <c r="AF227" s="239">
        <v>4760</v>
      </c>
      <c r="AG227" s="22"/>
      <c r="AH227" s="22"/>
      <c r="AI227" s="22"/>
      <c r="AJ227" s="22"/>
      <c r="AK227" s="22"/>
      <c r="AL227" s="22"/>
      <c r="AM227" s="22"/>
    </row>
    <row r="228" spans="1:39" x14ac:dyDescent="0.2">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39">
        <f t="shared" si="51"/>
        <v>170000.01</v>
      </c>
      <c r="AF228" s="239">
        <v>4599</v>
      </c>
      <c r="AG228" s="22"/>
      <c r="AH228" s="22"/>
      <c r="AI228" s="22"/>
      <c r="AJ228" s="22"/>
      <c r="AK228" s="22"/>
      <c r="AL228" s="22"/>
      <c r="AM228" s="22"/>
    </row>
    <row r="229" spans="1:39" x14ac:dyDescent="0.2">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39">
        <f t="shared" si="51"/>
        <v>170100.01</v>
      </c>
      <c r="AF229" s="239">
        <v>4439</v>
      </c>
      <c r="AG229" s="22"/>
      <c r="AH229" s="22"/>
      <c r="AI229" s="22"/>
      <c r="AJ229" s="22"/>
      <c r="AK229" s="22"/>
      <c r="AL229" s="22"/>
      <c r="AM229" s="22"/>
    </row>
    <row r="230" spans="1:39" x14ac:dyDescent="0.2">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39">
        <f t="shared" si="51"/>
        <v>170200.01</v>
      </c>
      <c r="AF230" s="239">
        <v>4278</v>
      </c>
      <c r="AG230" s="22"/>
      <c r="AH230" s="22"/>
      <c r="AI230" s="22"/>
      <c r="AJ230" s="22"/>
      <c r="AK230" s="22"/>
      <c r="AL230" s="22"/>
      <c r="AM230" s="22"/>
    </row>
    <row r="231" spans="1:39" x14ac:dyDescent="0.2">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39">
        <f t="shared" si="51"/>
        <v>170300.01</v>
      </c>
      <c r="AF231" s="239">
        <v>4118</v>
      </c>
      <c r="AG231" s="22"/>
      <c r="AH231" s="22"/>
      <c r="AI231" s="22"/>
      <c r="AJ231" s="22"/>
      <c r="AK231" s="22"/>
      <c r="AL231" s="22"/>
      <c r="AM231" s="22"/>
    </row>
    <row r="232" spans="1:39" x14ac:dyDescent="0.2">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39">
        <f t="shared" si="51"/>
        <v>170400.01</v>
      </c>
      <c r="AF232" s="239">
        <v>3958</v>
      </c>
      <c r="AG232" s="22"/>
      <c r="AH232" s="22"/>
      <c r="AI232" s="22"/>
      <c r="AJ232" s="22"/>
      <c r="AK232" s="22"/>
      <c r="AL232" s="22"/>
      <c r="AM232" s="22"/>
    </row>
    <row r="233" spans="1:39" x14ac:dyDescent="0.2">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39">
        <f t="shared" si="51"/>
        <v>170500.01</v>
      </c>
      <c r="AF233" s="239">
        <v>3798</v>
      </c>
      <c r="AG233" s="22"/>
      <c r="AH233" s="22"/>
      <c r="AI233" s="22"/>
      <c r="AJ233" s="22"/>
      <c r="AK233" s="22"/>
      <c r="AL233" s="22"/>
      <c r="AM233" s="22"/>
    </row>
    <row r="234" spans="1:39" x14ac:dyDescent="0.2">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39">
        <f t="shared" si="51"/>
        <v>170600.01</v>
      </c>
      <c r="AF234" s="239">
        <v>3639</v>
      </c>
      <c r="AG234" s="22"/>
      <c r="AH234" s="22"/>
      <c r="AI234" s="22"/>
      <c r="AJ234" s="22"/>
      <c r="AK234" s="22"/>
      <c r="AL234" s="22"/>
      <c r="AM234" s="22"/>
    </row>
    <row r="235" spans="1:39" x14ac:dyDescent="0.2">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39">
        <f t="shared" si="51"/>
        <v>170700.01</v>
      </c>
      <c r="AF235" s="239">
        <v>3479</v>
      </c>
      <c r="AG235" s="22"/>
      <c r="AH235" s="22"/>
      <c r="AI235" s="22"/>
      <c r="AJ235" s="22"/>
      <c r="AK235" s="22"/>
      <c r="AL235" s="22"/>
      <c r="AM235" s="22"/>
    </row>
    <row r="236" spans="1:39" x14ac:dyDescent="0.2">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39">
        <f t="shared" si="51"/>
        <v>170800.01</v>
      </c>
      <c r="AF236" s="239">
        <v>3320</v>
      </c>
      <c r="AG236" s="22"/>
      <c r="AH236" s="22"/>
      <c r="AI236" s="22"/>
      <c r="AJ236" s="22"/>
      <c r="AK236" s="22"/>
      <c r="AL236" s="22"/>
      <c r="AM236" s="22"/>
    </row>
    <row r="237" spans="1:39" x14ac:dyDescent="0.2">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39">
        <f t="shared" si="51"/>
        <v>170900.01</v>
      </c>
      <c r="AF237" s="239">
        <v>3160</v>
      </c>
      <c r="AG237" s="22"/>
      <c r="AH237" s="22"/>
      <c r="AI237" s="22"/>
      <c r="AJ237" s="22"/>
      <c r="AK237" s="22"/>
      <c r="AL237" s="22"/>
      <c r="AM237" s="22"/>
    </row>
    <row r="238" spans="1:39" x14ac:dyDescent="0.2">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39">
        <f t="shared" si="51"/>
        <v>171000.01</v>
      </c>
      <c r="AF238" s="239">
        <v>3001</v>
      </c>
      <c r="AG238" s="22"/>
      <c r="AH238" s="22"/>
      <c r="AI238" s="22"/>
      <c r="AJ238" s="22"/>
      <c r="AK238" s="22"/>
      <c r="AL238" s="22"/>
      <c r="AM238" s="22"/>
    </row>
    <row r="239" spans="1:39" x14ac:dyDescent="0.2">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39">
        <f t="shared" si="51"/>
        <v>171100.01</v>
      </c>
      <c r="AF239" s="239">
        <v>2842</v>
      </c>
      <c r="AG239" s="22"/>
      <c r="AH239" s="22"/>
      <c r="AI239" s="22"/>
      <c r="AJ239" s="22"/>
      <c r="AK239" s="22"/>
      <c r="AL239" s="22"/>
      <c r="AM239" s="22"/>
    </row>
    <row r="240" spans="1:39" x14ac:dyDescent="0.2">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39">
        <f t="shared" si="51"/>
        <v>171200.01</v>
      </c>
      <c r="AF240" s="239">
        <v>2683</v>
      </c>
      <c r="AG240" s="22"/>
      <c r="AH240" s="22"/>
      <c r="AI240" s="22"/>
      <c r="AJ240" s="22"/>
      <c r="AK240" s="22"/>
      <c r="AL240" s="22"/>
      <c r="AM240" s="22"/>
    </row>
    <row r="241" spans="1:39" x14ac:dyDescent="0.2">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39">
        <f t="shared" si="51"/>
        <v>171300.01</v>
      </c>
      <c r="AF241" s="239">
        <v>2524</v>
      </c>
      <c r="AG241" s="22"/>
      <c r="AH241" s="22"/>
      <c r="AI241" s="22"/>
      <c r="AJ241" s="22"/>
      <c r="AK241" s="22"/>
      <c r="AL241" s="22"/>
      <c r="AM241" s="22"/>
    </row>
    <row r="242" spans="1:39" x14ac:dyDescent="0.2">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39">
        <f t="shared" si="51"/>
        <v>171400.01</v>
      </c>
      <c r="AF242" s="239">
        <v>2366</v>
      </c>
      <c r="AG242" s="22"/>
      <c r="AH242" s="22"/>
      <c r="AI242" s="22"/>
      <c r="AJ242" s="22"/>
      <c r="AK242" s="22"/>
      <c r="AL242" s="22"/>
      <c r="AM242" s="22"/>
    </row>
    <row r="243" spans="1:39" x14ac:dyDescent="0.2">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39">
        <f t="shared" si="51"/>
        <v>171500.01</v>
      </c>
      <c r="AF243" s="239">
        <v>2207</v>
      </c>
      <c r="AG243" s="22"/>
      <c r="AH243" s="22"/>
      <c r="AI243" s="22"/>
      <c r="AJ243" s="22"/>
      <c r="AK243" s="22"/>
      <c r="AL243" s="22"/>
      <c r="AM243" s="22"/>
    </row>
    <row r="244" spans="1:39" x14ac:dyDescent="0.2">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39">
        <f t="shared" si="51"/>
        <v>171600.01</v>
      </c>
      <c r="AF244" s="239">
        <v>2049</v>
      </c>
      <c r="AG244" s="22"/>
      <c r="AH244" s="22"/>
      <c r="AI244" s="22"/>
      <c r="AJ244" s="22"/>
      <c r="AK244" s="22"/>
      <c r="AL244" s="22"/>
      <c r="AM244" s="22"/>
    </row>
    <row r="245" spans="1:39" x14ac:dyDescent="0.2">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39">
        <f t="shared" si="51"/>
        <v>171700.01</v>
      </c>
      <c r="AF245" s="239">
        <v>1890</v>
      </c>
      <c r="AG245" s="22"/>
      <c r="AH245" s="22"/>
      <c r="AI245" s="22"/>
      <c r="AJ245" s="22"/>
      <c r="AK245" s="22"/>
      <c r="AL245" s="22"/>
      <c r="AM245" s="22"/>
    </row>
    <row r="246" spans="1:39" x14ac:dyDescent="0.2">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39">
        <f t="shared" si="51"/>
        <v>171800.01</v>
      </c>
      <c r="AF246" s="239">
        <v>1732</v>
      </c>
      <c r="AG246" s="22"/>
      <c r="AH246" s="22"/>
      <c r="AI246" s="22"/>
      <c r="AJ246" s="22"/>
      <c r="AK246" s="22"/>
      <c r="AL246" s="22"/>
      <c r="AM246" s="22"/>
    </row>
    <row r="247" spans="1:39" x14ac:dyDescent="0.2">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39">
        <f t="shared" si="51"/>
        <v>171900.01</v>
      </c>
      <c r="AF247" s="239">
        <v>1574</v>
      </c>
      <c r="AG247" s="22"/>
      <c r="AH247" s="22"/>
      <c r="AI247" s="22"/>
      <c r="AJ247" s="22"/>
      <c r="AK247" s="22"/>
      <c r="AL247" s="22"/>
      <c r="AM247" s="22"/>
    </row>
    <row r="248" spans="1:39" x14ac:dyDescent="0.2">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39">
        <f t="shared" si="51"/>
        <v>172000.01</v>
      </c>
      <c r="AF248" s="239">
        <v>1416</v>
      </c>
      <c r="AG248" s="22"/>
      <c r="AH248" s="22"/>
      <c r="AI248" s="22"/>
      <c r="AJ248" s="22"/>
      <c r="AK248" s="22"/>
      <c r="AL248" s="22"/>
      <c r="AM248" s="22"/>
    </row>
    <row r="249" spans="1:39" x14ac:dyDescent="0.2">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39">
        <f t="shared" si="51"/>
        <v>172100.01</v>
      </c>
      <c r="AF249" s="239">
        <v>1258</v>
      </c>
      <c r="AG249" s="22"/>
      <c r="AH249" s="22"/>
      <c r="AI249" s="22"/>
      <c r="AJ249" s="22"/>
      <c r="AK249" s="22"/>
      <c r="AL249" s="22"/>
      <c r="AM249" s="22"/>
    </row>
    <row r="250" spans="1:39" x14ac:dyDescent="0.2">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39">
        <f t="shared" si="51"/>
        <v>172200.01</v>
      </c>
      <c r="AF250" s="239">
        <v>1101</v>
      </c>
      <c r="AG250" s="22"/>
      <c r="AH250" s="22"/>
      <c r="AI250" s="22"/>
      <c r="AJ250" s="22"/>
      <c r="AK250" s="22"/>
      <c r="AL250" s="22"/>
      <c r="AM250" s="22"/>
    </row>
    <row r="251" spans="1:39" x14ac:dyDescent="0.2">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39">
        <f t="shared" si="51"/>
        <v>172300.01</v>
      </c>
      <c r="AF251" s="239">
        <v>943</v>
      </c>
      <c r="AG251" s="22"/>
      <c r="AH251" s="22"/>
      <c r="AI251" s="22"/>
      <c r="AJ251" s="22"/>
      <c r="AK251" s="22"/>
      <c r="AL251" s="22"/>
      <c r="AM251" s="22"/>
    </row>
    <row r="252" spans="1:39" x14ac:dyDescent="0.2">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39">
        <f t="shared" si="51"/>
        <v>172400.01</v>
      </c>
      <c r="AF252" s="239">
        <v>786</v>
      </c>
      <c r="AG252" s="22"/>
      <c r="AH252" s="22"/>
      <c r="AI252" s="22"/>
      <c r="AJ252" s="22"/>
      <c r="AK252" s="22"/>
      <c r="AL252" s="22"/>
      <c r="AM252" s="22"/>
    </row>
    <row r="253" spans="1:39" x14ac:dyDescent="0.2">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39">
        <f t="shared" si="51"/>
        <v>172500.01</v>
      </c>
      <c r="AF253" s="239">
        <v>628</v>
      </c>
      <c r="AG253" s="22"/>
      <c r="AH253" s="22"/>
      <c r="AI253" s="22"/>
      <c r="AJ253" s="22"/>
      <c r="AK253" s="22"/>
      <c r="AL253" s="22"/>
      <c r="AM253" s="22"/>
    </row>
    <row r="254" spans="1:39" x14ac:dyDescent="0.2">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39">
        <f t="shared" si="51"/>
        <v>172600.01</v>
      </c>
      <c r="AF254" s="239">
        <v>471</v>
      </c>
      <c r="AG254" s="22"/>
      <c r="AH254" s="22"/>
      <c r="AI254" s="22"/>
      <c r="AJ254" s="22"/>
      <c r="AK254" s="22"/>
      <c r="AL254" s="22"/>
      <c r="AM254" s="22"/>
    </row>
    <row r="255" spans="1:39" x14ac:dyDescent="0.2">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39">
        <f t="shared" si="51"/>
        <v>172700.01</v>
      </c>
      <c r="AF255" s="239">
        <v>314</v>
      </c>
      <c r="AG255" s="22"/>
      <c r="AH255" s="22"/>
      <c r="AI255" s="22"/>
      <c r="AJ255" s="22"/>
      <c r="AK255" s="22"/>
      <c r="AL255" s="22"/>
      <c r="AM255" s="22"/>
    </row>
    <row r="256" spans="1:39" x14ac:dyDescent="0.2">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39">
        <f t="shared" si="51"/>
        <v>172800.01</v>
      </c>
      <c r="AF256" s="239">
        <v>157</v>
      </c>
      <c r="AG256" s="22"/>
      <c r="AH256" s="22"/>
      <c r="AI256" s="22"/>
      <c r="AJ256" s="22"/>
      <c r="AK256" s="22"/>
      <c r="AL256" s="22"/>
      <c r="AM256" s="22"/>
    </row>
    <row r="257" spans="1:39" x14ac:dyDescent="0.2">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39">
        <f t="shared" si="51"/>
        <v>172900.01</v>
      </c>
      <c r="AF257" s="239">
        <v>0</v>
      </c>
      <c r="AG257" s="22"/>
      <c r="AH257" s="22"/>
      <c r="AI257" s="22"/>
      <c r="AJ257" s="22"/>
      <c r="AK257" s="22"/>
      <c r="AL257" s="22"/>
      <c r="AM257" s="22"/>
    </row>
    <row r="258" spans="1:39" x14ac:dyDescent="0.2">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39">
        <v>173000</v>
      </c>
      <c r="AF258" s="239">
        <v>0</v>
      </c>
      <c r="AG258" s="22"/>
      <c r="AH258" s="22"/>
      <c r="AI258" s="22"/>
      <c r="AJ258" s="22"/>
      <c r="AK258" s="22"/>
      <c r="AL258" s="22"/>
      <c r="AM258" s="22"/>
    </row>
    <row r="259" spans="1:39" x14ac:dyDescent="0.2">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row>
    <row r="260" spans="1:39" x14ac:dyDescent="0.2">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x14ac:dyDescent="0.2">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x14ac:dyDescent="0.2">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x14ac:dyDescent="0.2">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x14ac:dyDescent="0.2">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x14ac:dyDescent="0.2">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x14ac:dyDescent="0.2">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x14ac:dyDescent="0.2">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x14ac:dyDescent="0.2">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x14ac:dyDescent="0.2">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x14ac:dyDescent="0.2">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x14ac:dyDescent="0.2">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x14ac:dyDescent="0.2">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x14ac:dyDescent="0.2">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x14ac:dyDescent="0.2">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x14ac:dyDescent="0.2">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x14ac:dyDescent="0.2">
      <c r="AE277" s="22"/>
      <c r="AF277" s="22"/>
    </row>
  </sheetData>
  <sheetProtection password="C03E" sheet="1" objects="1" scenarios="1"/>
  <mergeCells count="17">
    <mergeCell ref="AH3:AJ3"/>
    <mergeCell ref="AE3:AG3"/>
    <mergeCell ref="AB3:AD3"/>
    <mergeCell ref="B52:P52"/>
    <mergeCell ref="S3:U3"/>
    <mergeCell ref="V3:X3"/>
    <mergeCell ref="Y3:AA3"/>
    <mergeCell ref="AE26:AF26"/>
    <mergeCell ref="B68:P68"/>
    <mergeCell ref="P3:R3"/>
    <mergeCell ref="A3:C3"/>
    <mergeCell ref="D3:F3"/>
    <mergeCell ref="G3:I3"/>
    <mergeCell ref="J3:L3"/>
    <mergeCell ref="M3:O3"/>
    <mergeCell ref="B20:P20"/>
    <mergeCell ref="B36:P36"/>
  </mergeCells>
  <phoneticPr fontId="0" type="noConversion"/>
  <dataValidations disablePrompts="1" count="1">
    <dataValidation type="list" showInputMessage="1" showErrorMessage="1" sqref="F91" xr:uid="{00000000-0002-0000-0100-000000000000}">
      <formula1>$F$88:$F$89</formula1>
    </dataValidation>
  </dataValidations>
  <printOptions gridLines="1" gridLinesSet="0"/>
  <pageMargins left="0.75" right="0.75" top="1" bottom="1" header="0.511811024" footer="0.511811024"/>
  <pageSetup paperSize="9" orientation="landscape" r:id="rId1"/>
  <headerFooter alignWithMargins="0">
    <oddHeader>&amp;A</oddHead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59"/>
  <sheetViews>
    <sheetView topLeftCell="A7" workbookViewId="0">
      <selection activeCell="N24" sqref="N24"/>
    </sheetView>
  </sheetViews>
  <sheetFormatPr baseColWidth="10" defaultRowHeight="12.75" x14ac:dyDescent="0.2"/>
  <cols>
    <col min="1" max="1" width="9.5" customWidth="1"/>
  </cols>
  <sheetData>
    <row r="1" spans="1:14" x14ac:dyDescent="0.2">
      <c r="A1" s="6" t="s">
        <v>54</v>
      </c>
    </row>
    <row r="2" spans="1:14" x14ac:dyDescent="0.2">
      <c r="D2" s="2"/>
      <c r="E2" s="2"/>
    </row>
    <row r="3" spans="1:14" x14ac:dyDescent="0.2">
      <c r="A3" s="352" t="s">
        <v>107</v>
      </c>
      <c r="B3" s="353"/>
      <c r="C3" s="353"/>
      <c r="D3" s="353"/>
      <c r="E3" s="353"/>
      <c r="F3" s="353"/>
      <c r="G3" s="353"/>
      <c r="H3" s="353"/>
      <c r="I3" s="353"/>
      <c r="J3" s="353"/>
      <c r="K3" s="353"/>
      <c r="L3" s="353"/>
      <c r="M3" s="354"/>
    </row>
    <row r="4" spans="1:14" x14ac:dyDescent="0.2">
      <c r="D4" s="2"/>
      <c r="E4" s="2"/>
    </row>
    <row r="5" spans="1:14" x14ac:dyDescent="0.2">
      <c r="A5" s="71" t="s">
        <v>233</v>
      </c>
      <c r="D5" s="2"/>
      <c r="E5" s="2"/>
    </row>
    <row r="6" spans="1:14" x14ac:dyDescent="0.2">
      <c r="A6" s="71"/>
      <c r="D6" s="2"/>
      <c r="E6" s="2"/>
    </row>
    <row r="7" spans="1:14" x14ac:dyDescent="0.2">
      <c r="A7" s="71" t="s">
        <v>234</v>
      </c>
      <c r="D7" s="2"/>
      <c r="E7" s="2"/>
    </row>
    <row r="8" spans="1:14" x14ac:dyDescent="0.2">
      <c r="D8" s="2"/>
      <c r="E8" s="2"/>
    </row>
    <row r="9" spans="1:14" x14ac:dyDescent="0.2">
      <c r="A9" s="71" t="s">
        <v>383</v>
      </c>
      <c r="D9" s="2"/>
      <c r="E9" s="2"/>
    </row>
    <row r="10" spans="1:14" x14ac:dyDescent="0.2">
      <c r="B10" s="71"/>
      <c r="D10" s="2"/>
      <c r="E10" s="2"/>
    </row>
    <row r="11" spans="1:14" x14ac:dyDescent="0.2">
      <c r="A11" s="71" t="s">
        <v>399</v>
      </c>
      <c r="D11" s="2"/>
      <c r="E11" s="2"/>
    </row>
    <row r="12" spans="1:14" x14ac:dyDescent="0.2">
      <c r="A12" s="71"/>
      <c r="D12" s="2"/>
      <c r="E12" s="2"/>
    </row>
    <row r="13" spans="1:14" x14ac:dyDescent="0.2">
      <c r="A13" s="355" t="s">
        <v>400</v>
      </c>
      <c r="B13" s="351"/>
      <c r="C13" s="351"/>
      <c r="D13" s="351"/>
      <c r="E13" s="351"/>
      <c r="F13" s="351"/>
      <c r="G13" s="351"/>
      <c r="H13" s="351"/>
      <c r="I13" s="351"/>
      <c r="J13" s="351"/>
      <c r="K13" s="351"/>
      <c r="L13" s="351"/>
      <c r="M13" s="351"/>
      <c r="N13" s="259"/>
    </row>
    <row r="14" spans="1:14" x14ac:dyDescent="0.2">
      <c r="A14" s="351"/>
      <c r="B14" s="351"/>
      <c r="C14" s="351"/>
      <c r="D14" s="351"/>
      <c r="E14" s="351"/>
      <c r="F14" s="351"/>
      <c r="G14" s="351"/>
      <c r="H14" s="351"/>
      <c r="I14" s="351"/>
      <c r="J14" s="351"/>
      <c r="K14" s="351"/>
      <c r="L14" s="351"/>
      <c r="M14" s="351"/>
      <c r="N14" s="259"/>
    </row>
    <row r="15" spans="1:14" x14ac:dyDescent="0.2">
      <c r="D15" s="2"/>
      <c r="E15" s="2"/>
    </row>
    <row r="16" spans="1:14" x14ac:dyDescent="0.2">
      <c r="A16" s="6" t="s">
        <v>108</v>
      </c>
    </row>
    <row r="17" spans="1:13" x14ac:dyDescent="0.2">
      <c r="B17" s="5"/>
      <c r="C17" s="6"/>
      <c r="D17" s="2"/>
      <c r="E17" s="2"/>
    </row>
    <row r="18" spans="1:13" x14ac:dyDescent="0.2">
      <c r="A18" s="130" t="s">
        <v>276</v>
      </c>
      <c r="C18" s="6"/>
      <c r="D18" s="2"/>
      <c r="E18" s="2"/>
    </row>
    <row r="19" spans="1:13" x14ac:dyDescent="0.2">
      <c r="B19" s="6"/>
      <c r="C19" s="6"/>
      <c r="D19" s="2"/>
      <c r="E19" s="2"/>
    </row>
    <row r="20" spans="1:13" x14ac:dyDescent="0.2">
      <c r="A20" s="131" t="s">
        <v>243</v>
      </c>
      <c r="C20" s="6"/>
      <c r="D20" s="2"/>
      <c r="E20" s="2"/>
    </row>
    <row r="21" spans="1:13" x14ac:dyDescent="0.2">
      <c r="B21" s="130"/>
      <c r="C21" s="6"/>
      <c r="D21" s="2"/>
      <c r="E21" s="2"/>
    </row>
    <row r="22" spans="1:13" x14ac:dyDescent="0.2">
      <c r="A22" s="71" t="s">
        <v>216</v>
      </c>
      <c r="C22" s="6"/>
      <c r="D22" s="2"/>
      <c r="E22" s="2"/>
    </row>
    <row r="23" spans="1:13" x14ac:dyDescent="0.2">
      <c r="B23" s="5"/>
      <c r="C23" s="6"/>
      <c r="D23" s="2"/>
      <c r="E23" s="2"/>
    </row>
    <row r="24" spans="1:13" x14ac:dyDescent="0.2">
      <c r="A24" t="s">
        <v>56</v>
      </c>
      <c r="B24" s="131"/>
      <c r="D24" s="2"/>
      <c r="E24" s="2"/>
    </row>
    <row r="25" spans="1:13" x14ac:dyDescent="0.2">
      <c r="B25" s="131"/>
      <c r="C25" s="6"/>
      <c r="D25" s="2"/>
      <c r="E25" s="2"/>
    </row>
    <row r="26" spans="1:13" x14ac:dyDescent="0.2">
      <c r="A26" t="s">
        <v>58</v>
      </c>
      <c r="B26" s="131"/>
      <c r="C26" s="6"/>
      <c r="D26" s="2"/>
      <c r="E26" s="2"/>
    </row>
    <row r="27" spans="1:13" x14ac:dyDescent="0.2">
      <c r="B27" s="5"/>
      <c r="C27" s="6"/>
      <c r="D27" s="2"/>
      <c r="E27" s="2"/>
    </row>
    <row r="28" spans="1:13" x14ac:dyDescent="0.2">
      <c r="A28" t="s">
        <v>57</v>
      </c>
      <c r="D28" s="2"/>
      <c r="E28" s="2"/>
    </row>
    <row r="29" spans="1:13" x14ac:dyDescent="0.2">
      <c r="D29" s="2"/>
      <c r="E29" s="2"/>
    </row>
    <row r="30" spans="1:13" x14ac:dyDescent="0.2">
      <c r="A30" s="355" t="s">
        <v>401</v>
      </c>
      <c r="B30" s="355"/>
      <c r="C30" s="355"/>
      <c r="D30" s="355"/>
      <c r="E30" s="355"/>
      <c r="F30" s="355"/>
      <c r="G30" s="355"/>
      <c r="H30" s="355"/>
      <c r="I30" s="355"/>
      <c r="J30" s="355"/>
      <c r="K30" s="355"/>
      <c r="L30" s="355"/>
      <c r="M30" s="355"/>
    </row>
    <row r="31" spans="1:13" x14ac:dyDescent="0.2">
      <c r="A31" s="355"/>
      <c r="B31" s="355"/>
      <c r="C31" s="355"/>
      <c r="D31" s="355"/>
      <c r="E31" s="355"/>
      <c r="F31" s="355"/>
      <c r="G31" s="355"/>
      <c r="H31" s="355"/>
      <c r="I31" s="355"/>
      <c r="J31" s="355"/>
      <c r="K31" s="355"/>
      <c r="L31" s="355"/>
      <c r="M31" s="355"/>
    </row>
    <row r="33" spans="1:15" x14ac:dyDescent="0.2">
      <c r="A33" s="130" t="s">
        <v>73</v>
      </c>
    </row>
    <row r="34" spans="1:15" x14ac:dyDescent="0.2">
      <c r="A34" t="s">
        <v>77</v>
      </c>
    </row>
    <row r="35" spans="1:15" x14ac:dyDescent="0.2">
      <c r="A35" t="s">
        <v>74</v>
      </c>
    </row>
    <row r="36" spans="1:15" x14ac:dyDescent="0.2">
      <c r="A36" s="356" t="s">
        <v>248</v>
      </c>
      <c r="B36" s="357"/>
      <c r="C36" s="357"/>
      <c r="D36" s="357"/>
      <c r="E36" s="357"/>
      <c r="F36" s="357"/>
      <c r="G36" s="357"/>
      <c r="H36" s="357"/>
      <c r="I36" s="357"/>
      <c r="J36" s="357"/>
      <c r="K36" s="357"/>
      <c r="L36" s="358"/>
      <c r="M36" s="358"/>
    </row>
    <row r="37" spans="1:15" x14ac:dyDescent="0.2">
      <c r="A37" s="357"/>
      <c r="B37" s="357"/>
      <c r="C37" s="357"/>
      <c r="D37" s="357"/>
      <c r="E37" s="357"/>
      <c r="F37" s="357"/>
      <c r="G37" s="357"/>
      <c r="H37" s="357"/>
      <c r="I37" s="357"/>
      <c r="J37" s="357"/>
      <c r="K37" s="357"/>
      <c r="L37" s="358"/>
      <c r="M37" s="358"/>
    </row>
    <row r="39" spans="1:15" x14ac:dyDescent="0.2">
      <c r="B39" s="3"/>
      <c r="D39" s="3"/>
    </row>
    <row r="40" spans="1:15" x14ac:dyDescent="0.2">
      <c r="A40" s="202" t="s">
        <v>277</v>
      </c>
      <c r="B40" s="3"/>
      <c r="C40" s="3"/>
      <c r="D40" s="3"/>
      <c r="E40" s="3"/>
      <c r="F40" s="3"/>
      <c r="G40" s="3"/>
      <c r="H40" s="3"/>
      <c r="I40" s="3"/>
      <c r="J40" s="3"/>
      <c r="K40" s="3"/>
      <c r="L40" s="3"/>
      <c r="M40" s="3"/>
      <c r="N40" s="3"/>
      <c r="O40" s="3"/>
    </row>
    <row r="41" spans="1:15" x14ac:dyDescent="0.2">
      <c r="A41" s="359" t="s">
        <v>404</v>
      </c>
      <c r="B41" s="351"/>
      <c r="C41" s="351"/>
      <c r="D41" s="351"/>
      <c r="E41" s="351"/>
      <c r="F41" s="351"/>
      <c r="G41" s="351"/>
      <c r="H41" s="351"/>
      <c r="I41" s="351"/>
      <c r="J41" s="351"/>
      <c r="K41" s="351"/>
      <c r="L41" s="351"/>
      <c r="M41" s="351"/>
      <c r="N41" s="3"/>
      <c r="O41" s="3"/>
    </row>
    <row r="42" spans="1:15" x14ac:dyDescent="0.2">
      <c r="A42" s="351"/>
      <c r="B42" s="351"/>
      <c r="C42" s="351"/>
      <c r="D42" s="351"/>
      <c r="E42" s="351"/>
      <c r="F42" s="351"/>
      <c r="G42" s="351"/>
      <c r="H42" s="351"/>
      <c r="I42" s="351"/>
      <c r="J42" s="351"/>
      <c r="K42" s="351"/>
      <c r="L42" s="351"/>
      <c r="M42" s="351"/>
      <c r="N42" s="3"/>
      <c r="O42" s="3"/>
    </row>
    <row r="43" spans="1:15" x14ac:dyDescent="0.2">
      <c r="A43" s="275"/>
      <c r="B43" s="275"/>
      <c r="C43" s="275"/>
      <c r="D43" s="275"/>
      <c r="E43" s="275"/>
      <c r="F43" s="275"/>
      <c r="G43" s="275"/>
      <c r="H43" s="275"/>
      <c r="I43" s="275"/>
      <c r="J43" s="275"/>
      <c r="K43" s="275"/>
      <c r="L43" s="275"/>
      <c r="M43" s="275"/>
      <c r="N43" s="3"/>
      <c r="O43" s="3"/>
    </row>
    <row r="44" spans="1:15" x14ac:dyDescent="0.2">
      <c r="A44" s="201" t="s">
        <v>87</v>
      </c>
      <c r="B44" s="3"/>
      <c r="C44" s="3"/>
      <c r="D44" s="3"/>
      <c r="E44" s="3"/>
      <c r="F44" s="3"/>
      <c r="G44" s="3"/>
      <c r="H44" s="3"/>
      <c r="I44" s="3"/>
      <c r="J44" s="3"/>
      <c r="K44" s="3"/>
      <c r="L44" s="3"/>
      <c r="M44" s="3"/>
      <c r="N44" s="3"/>
      <c r="O44" s="3"/>
    </row>
    <row r="45" spans="1:15" x14ac:dyDescent="0.2">
      <c r="B45" s="3"/>
      <c r="D45" s="3"/>
    </row>
    <row r="46" spans="1:15" x14ac:dyDescent="0.2">
      <c r="A46" s="6" t="s">
        <v>79</v>
      </c>
      <c r="C46" s="3"/>
      <c r="D46" s="132" t="s">
        <v>217</v>
      </c>
    </row>
    <row r="47" spans="1:15" x14ac:dyDescent="0.2">
      <c r="D47" s="355" t="s">
        <v>403</v>
      </c>
      <c r="E47" s="351"/>
      <c r="F47" s="351"/>
      <c r="G47" s="351"/>
      <c r="H47" s="351"/>
      <c r="I47" s="351"/>
      <c r="J47" s="351"/>
      <c r="K47" s="351"/>
      <c r="L47" s="351"/>
      <c r="M47" s="351"/>
    </row>
    <row r="48" spans="1:15" x14ac:dyDescent="0.2">
      <c r="D48" s="351"/>
      <c r="E48" s="351"/>
      <c r="F48" s="351"/>
      <c r="G48" s="351"/>
      <c r="H48" s="351"/>
      <c r="I48" s="351"/>
      <c r="J48" s="351"/>
      <c r="K48" s="351"/>
      <c r="L48" s="351"/>
      <c r="M48" s="351"/>
    </row>
    <row r="49" spans="1:13" x14ac:dyDescent="0.2">
      <c r="D49" s="355" t="s">
        <v>223</v>
      </c>
      <c r="E49" s="351"/>
      <c r="F49" s="351"/>
      <c r="G49" s="351"/>
      <c r="H49" s="351"/>
      <c r="I49" s="351"/>
      <c r="J49" s="351"/>
      <c r="K49" s="351"/>
      <c r="L49" s="351"/>
      <c r="M49" s="351"/>
    </row>
    <row r="50" spans="1:13" x14ac:dyDescent="0.2">
      <c r="D50" s="351"/>
      <c r="E50" s="351"/>
      <c r="F50" s="351"/>
      <c r="G50" s="351"/>
      <c r="H50" s="351"/>
      <c r="I50" s="351"/>
      <c r="J50" s="351"/>
      <c r="K50" s="351"/>
      <c r="L50" s="351"/>
      <c r="M50" s="351"/>
    </row>
    <row r="51" spans="1:13" x14ac:dyDescent="0.2">
      <c r="D51" s="275"/>
      <c r="E51" s="275"/>
      <c r="F51" s="275"/>
      <c r="G51" s="275"/>
      <c r="H51" s="275"/>
      <c r="I51" s="275"/>
      <c r="J51" s="275"/>
      <c r="K51" s="275"/>
      <c r="L51" s="275"/>
      <c r="M51" s="275"/>
    </row>
    <row r="52" spans="1:13" x14ac:dyDescent="0.2">
      <c r="A52" s="355" t="s">
        <v>249</v>
      </c>
      <c r="B52" s="351"/>
      <c r="C52" s="351"/>
      <c r="D52" s="351"/>
      <c r="E52" s="351"/>
      <c r="F52" s="351"/>
      <c r="G52" s="351"/>
      <c r="H52" s="351"/>
      <c r="I52" s="351"/>
      <c r="J52" s="351"/>
      <c r="K52" s="351"/>
      <c r="L52" s="351"/>
      <c r="M52" s="351"/>
    </row>
    <row r="53" spans="1:13" x14ac:dyDescent="0.2">
      <c r="A53" s="351"/>
      <c r="B53" s="351"/>
      <c r="C53" s="351"/>
      <c r="D53" s="351"/>
      <c r="E53" s="351"/>
      <c r="F53" s="351"/>
      <c r="G53" s="351"/>
      <c r="H53" s="351"/>
      <c r="I53" s="351"/>
      <c r="J53" s="351"/>
      <c r="K53" s="351"/>
      <c r="L53" s="351"/>
      <c r="M53" s="351"/>
    </row>
    <row r="54" spans="1:13" x14ac:dyDescent="0.2">
      <c r="A54" s="275"/>
      <c r="B54" s="275"/>
      <c r="C54" s="275"/>
      <c r="D54" s="275"/>
      <c r="E54" s="275"/>
      <c r="F54" s="275"/>
      <c r="G54" s="275"/>
      <c r="H54" s="275"/>
      <c r="I54" s="275"/>
      <c r="J54" s="275"/>
      <c r="K54" s="275"/>
      <c r="L54" s="275"/>
      <c r="M54" s="275"/>
    </row>
    <row r="55" spans="1:13" x14ac:dyDescent="0.2">
      <c r="A55" s="355" t="s">
        <v>402</v>
      </c>
      <c r="B55" s="351"/>
      <c r="C55" s="351"/>
      <c r="D55" s="351"/>
      <c r="E55" s="351"/>
      <c r="F55" s="351"/>
      <c r="G55" s="351"/>
      <c r="H55" s="351"/>
      <c r="I55" s="351"/>
      <c r="J55" s="351"/>
      <c r="K55" s="351"/>
      <c r="L55" s="351"/>
      <c r="M55" s="351"/>
    </row>
    <row r="56" spans="1:13" x14ac:dyDescent="0.2">
      <c r="A56" s="351"/>
      <c r="B56" s="351"/>
      <c r="C56" s="351"/>
      <c r="D56" s="351"/>
      <c r="E56" s="351"/>
      <c r="F56" s="351"/>
      <c r="G56" s="351"/>
      <c r="H56" s="351"/>
      <c r="I56" s="351"/>
      <c r="J56" s="351"/>
      <c r="K56" s="351"/>
      <c r="L56" s="351"/>
      <c r="M56" s="351"/>
    </row>
    <row r="57" spans="1:13" x14ac:dyDescent="0.2">
      <c r="A57" s="4"/>
    </row>
    <row r="58" spans="1:13" x14ac:dyDescent="0.2">
      <c r="A58" s="351" t="s">
        <v>405</v>
      </c>
      <c r="B58" s="351"/>
      <c r="C58" s="351"/>
      <c r="D58" s="351"/>
      <c r="E58" s="351"/>
      <c r="F58" s="351"/>
      <c r="G58" s="351"/>
      <c r="H58" s="351"/>
      <c r="I58" s="351"/>
      <c r="J58" s="351"/>
      <c r="K58" s="351"/>
      <c r="L58" s="351"/>
      <c r="M58" s="351"/>
    </row>
    <row r="59" spans="1:13" x14ac:dyDescent="0.2">
      <c r="A59" s="351"/>
      <c r="B59" s="351"/>
      <c r="C59" s="351"/>
      <c r="D59" s="351"/>
      <c r="E59" s="351"/>
      <c r="F59" s="351"/>
      <c r="G59" s="351"/>
      <c r="H59" s="351"/>
      <c r="I59" s="351"/>
      <c r="J59" s="351"/>
      <c r="K59" s="351"/>
      <c r="L59" s="351"/>
      <c r="M59" s="351"/>
    </row>
  </sheetData>
  <sheetProtection password="9F9F" sheet="1" objects="1" scenarios="1" formatColumns="0"/>
  <mergeCells count="10">
    <mergeCell ref="A58:M59"/>
    <mergeCell ref="A3:M3"/>
    <mergeCell ref="A30:M31"/>
    <mergeCell ref="A36:M37"/>
    <mergeCell ref="A13:M14"/>
    <mergeCell ref="A55:M56"/>
    <mergeCell ref="D47:M48"/>
    <mergeCell ref="D49:M50"/>
    <mergeCell ref="A52:M53"/>
    <mergeCell ref="A41:M42"/>
  </mergeCells>
  <phoneticPr fontId="10" type="noConversion"/>
  <pageMargins left="0.74803149606299213" right="0.74803149606299213" top="0.98425196850393704" bottom="0.98425196850393704" header="0" footer="0"/>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63"/>
  <sheetViews>
    <sheetView workbookViewId="0">
      <selection activeCell="B41" sqref="B41"/>
    </sheetView>
  </sheetViews>
  <sheetFormatPr baseColWidth="10" defaultRowHeight="12.75" x14ac:dyDescent="0.2"/>
  <cols>
    <col min="1" max="1" width="6.5" customWidth="1"/>
    <col min="2" max="2" width="97.83203125" customWidth="1"/>
    <col min="3" max="3" width="27.5" customWidth="1"/>
    <col min="5" max="5" width="49.5" customWidth="1"/>
  </cols>
  <sheetData>
    <row r="1" spans="1:2" x14ac:dyDescent="0.2">
      <c r="A1" s="71"/>
    </row>
    <row r="2" spans="1:2" x14ac:dyDescent="0.2">
      <c r="A2" s="130" t="s">
        <v>347</v>
      </c>
    </row>
    <row r="3" spans="1:2" x14ac:dyDescent="0.2">
      <c r="A3" s="71"/>
      <c r="B3" t="s">
        <v>323</v>
      </c>
    </row>
    <row r="4" spans="1:2" x14ac:dyDescent="0.2">
      <c r="A4" s="71"/>
      <c r="B4" s="130" t="s">
        <v>337</v>
      </c>
    </row>
    <row r="5" spans="1:2" x14ac:dyDescent="0.2">
      <c r="A5" s="71" t="s">
        <v>121</v>
      </c>
      <c r="B5" t="s">
        <v>324</v>
      </c>
    </row>
    <row r="6" spans="1:2" x14ac:dyDescent="0.2">
      <c r="A6" s="71" t="s">
        <v>122</v>
      </c>
      <c r="B6" t="s">
        <v>325</v>
      </c>
    </row>
    <row r="7" spans="1:2" x14ac:dyDescent="0.2">
      <c r="A7" s="71" t="s">
        <v>123</v>
      </c>
      <c r="B7" t="s">
        <v>326</v>
      </c>
    </row>
    <row r="8" spans="1:2" x14ac:dyDescent="0.2">
      <c r="A8" s="71" t="s">
        <v>327</v>
      </c>
      <c r="B8" t="s">
        <v>328</v>
      </c>
    </row>
    <row r="9" spans="1:2" x14ac:dyDescent="0.2">
      <c r="A9" s="71" t="s">
        <v>120</v>
      </c>
      <c r="B9" t="s">
        <v>329</v>
      </c>
    </row>
    <row r="10" spans="1:2" x14ac:dyDescent="0.2">
      <c r="A10" s="71" t="s">
        <v>125</v>
      </c>
      <c r="B10" t="s">
        <v>330</v>
      </c>
    </row>
    <row r="11" spans="1:2" x14ac:dyDescent="0.2">
      <c r="A11" s="71" t="s">
        <v>126</v>
      </c>
      <c r="B11" t="s">
        <v>331</v>
      </c>
    </row>
    <row r="12" spans="1:2" x14ac:dyDescent="0.2">
      <c r="A12" s="71" t="s">
        <v>127</v>
      </c>
      <c r="B12" t="s">
        <v>332</v>
      </c>
    </row>
    <row r="13" spans="1:2" x14ac:dyDescent="0.2">
      <c r="A13" s="71" t="s">
        <v>128</v>
      </c>
      <c r="B13" t="s">
        <v>333</v>
      </c>
    </row>
    <row r="14" spans="1:2" x14ac:dyDescent="0.2">
      <c r="A14" s="71" t="s">
        <v>129</v>
      </c>
      <c r="B14" t="s">
        <v>334</v>
      </c>
    </row>
    <row r="15" spans="1:2" x14ac:dyDescent="0.2">
      <c r="A15" s="71" t="s">
        <v>131</v>
      </c>
      <c r="B15" t="s">
        <v>335</v>
      </c>
    </row>
    <row r="16" spans="1:2" x14ac:dyDescent="0.2">
      <c r="A16" s="71" t="s">
        <v>132</v>
      </c>
      <c r="B16" s="71" t="s">
        <v>336</v>
      </c>
    </row>
    <row r="17" spans="1:2" x14ac:dyDescent="0.2">
      <c r="A17" s="71" t="s">
        <v>133</v>
      </c>
      <c r="B17" s="71" t="s">
        <v>338</v>
      </c>
    </row>
    <row r="18" spans="1:2" x14ac:dyDescent="0.2">
      <c r="A18" s="71" t="s">
        <v>134</v>
      </c>
      <c r="B18" s="71" t="s">
        <v>339</v>
      </c>
    </row>
    <row r="19" spans="1:2" x14ac:dyDescent="0.2">
      <c r="A19" s="71" t="s">
        <v>340</v>
      </c>
      <c r="B19" s="71" t="s">
        <v>341</v>
      </c>
    </row>
    <row r="20" spans="1:2" x14ac:dyDescent="0.2">
      <c r="A20" s="71" t="s">
        <v>135</v>
      </c>
      <c r="B20" s="71" t="s">
        <v>343</v>
      </c>
    </row>
    <row r="21" spans="1:2" x14ac:dyDescent="0.2">
      <c r="A21" s="71" t="s">
        <v>136</v>
      </c>
      <c r="B21" s="71" t="s">
        <v>344</v>
      </c>
    </row>
    <row r="22" spans="1:2" x14ac:dyDescent="0.2">
      <c r="A22" s="71" t="s">
        <v>137</v>
      </c>
      <c r="B22" s="71" t="s">
        <v>345</v>
      </c>
    </row>
    <row r="23" spans="1:2" x14ac:dyDescent="0.2">
      <c r="A23" s="71" t="s">
        <v>342</v>
      </c>
      <c r="B23" s="71" t="s">
        <v>346</v>
      </c>
    </row>
    <row r="24" spans="1:2" x14ac:dyDescent="0.2">
      <c r="A24" s="71"/>
      <c r="B24" s="71"/>
    </row>
    <row r="25" spans="1:2" x14ac:dyDescent="0.2">
      <c r="A25" s="130" t="s">
        <v>348</v>
      </c>
      <c r="B25" s="71"/>
    </row>
    <row r="26" spans="1:2" x14ac:dyDescent="0.2">
      <c r="A26" s="71"/>
      <c r="B26" s="71" t="s">
        <v>349</v>
      </c>
    </row>
    <row r="27" spans="1:2" x14ac:dyDescent="0.2">
      <c r="A27" s="71"/>
    </row>
    <row r="28" spans="1:2" x14ac:dyDescent="0.2">
      <c r="A28" s="130" t="s">
        <v>355</v>
      </c>
    </row>
    <row r="29" spans="1:2" x14ac:dyDescent="0.2">
      <c r="A29" s="130"/>
      <c r="B29" s="71" t="s">
        <v>350</v>
      </c>
    </row>
    <row r="30" spans="1:2" x14ac:dyDescent="0.2">
      <c r="A30" s="130"/>
      <c r="B30" s="71" t="s">
        <v>351</v>
      </c>
    </row>
    <row r="31" spans="1:2" x14ac:dyDescent="0.2">
      <c r="A31" s="130"/>
      <c r="B31" s="71" t="s">
        <v>352</v>
      </c>
    </row>
    <row r="32" spans="1:2" x14ac:dyDescent="0.2">
      <c r="A32" s="71" t="s">
        <v>121</v>
      </c>
      <c r="B32" s="71" t="s">
        <v>353</v>
      </c>
    </row>
    <row r="33" spans="1:8" x14ac:dyDescent="0.2">
      <c r="A33" s="71" t="s">
        <v>122</v>
      </c>
      <c r="B33" s="71" t="s">
        <v>354</v>
      </c>
    </row>
    <row r="34" spans="1:8" x14ac:dyDescent="0.2">
      <c r="A34" s="130"/>
    </row>
    <row r="35" spans="1:8" x14ac:dyDescent="0.2">
      <c r="A35" s="130" t="s">
        <v>356</v>
      </c>
    </row>
    <row r="36" spans="1:8" x14ac:dyDescent="0.2">
      <c r="A36" s="80" t="s">
        <v>201</v>
      </c>
      <c r="B36" s="80" t="s">
        <v>173</v>
      </c>
      <c r="C36" s="64" t="s">
        <v>175</v>
      </c>
      <c r="D36" s="64" t="s">
        <v>179</v>
      </c>
      <c r="E36" s="64" t="s">
        <v>181</v>
      </c>
    </row>
    <row r="37" spans="1:8" x14ac:dyDescent="0.2">
      <c r="A37" s="83" t="s">
        <v>121</v>
      </c>
      <c r="B37" s="84" t="s">
        <v>174</v>
      </c>
      <c r="C37" s="85"/>
      <c r="D37" s="85" t="s">
        <v>180</v>
      </c>
      <c r="E37" s="80" t="s">
        <v>266</v>
      </c>
      <c r="H37" s="71"/>
    </row>
    <row r="38" spans="1:8" ht="25.5" x14ac:dyDescent="0.2">
      <c r="A38" s="83" t="s">
        <v>122</v>
      </c>
      <c r="B38" s="84" t="s">
        <v>176</v>
      </c>
      <c r="C38" s="85" t="s">
        <v>178</v>
      </c>
      <c r="D38" s="85" t="s">
        <v>180</v>
      </c>
      <c r="E38" s="80" t="s">
        <v>266</v>
      </c>
      <c r="H38" s="71"/>
    </row>
    <row r="39" spans="1:8" ht="38.25" customHeight="1" x14ac:dyDescent="0.2">
      <c r="A39" s="83" t="s">
        <v>123</v>
      </c>
      <c r="B39" s="84" t="s">
        <v>177</v>
      </c>
      <c r="C39" s="85" t="s">
        <v>178</v>
      </c>
      <c r="D39" s="85" t="s">
        <v>180</v>
      </c>
      <c r="E39" s="84" t="s">
        <v>198</v>
      </c>
      <c r="F39" s="71"/>
    </row>
    <row r="40" spans="1:8" ht="25.5" x14ac:dyDescent="0.2">
      <c r="A40" s="83" t="s">
        <v>182</v>
      </c>
      <c r="B40" s="84" t="s">
        <v>184</v>
      </c>
      <c r="C40" s="85" t="s">
        <v>178</v>
      </c>
      <c r="D40" s="84" t="s">
        <v>27</v>
      </c>
      <c r="E40" s="84" t="s">
        <v>187</v>
      </c>
      <c r="H40" s="71"/>
    </row>
    <row r="41" spans="1:8" x14ac:dyDescent="0.2">
      <c r="A41" s="86" t="s">
        <v>183</v>
      </c>
      <c r="B41" s="84" t="s">
        <v>185</v>
      </c>
      <c r="C41" s="85"/>
      <c r="D41" s="84" t="s">
        <v>27</v>
      </c>
      <c r="E41" s="84" t="s">
        <v>187</v>
      </c>
      <c r="H41" s="71"/>
    </row>
    <row r="42" spans="1:8" ht="25.5" x14ac:dyDescent="0.2">
      <c r="A42" s="86" t="s">
        <v>200</v>
      </c>
      <c r="B42" s="84" t="s">
        <v>186</v>
      </c>
      <c r="C42" s="85"/>
      <c r="D42" s="84" t="s">
        <v>27</v>
      </c>
      <c r="E42" s="84" t="s">
        <v>187</v>
      </c>
      <c r="H42" s="71"/>
    </row>
    <row r="43" spans="1:8" ht="25.5" x14ac:dyDescent="0.2">
      <c r="A43" s="83" t="s">
        <v>120</v>
      </c>
      <c r="B43" s="84" t="s">
        <v>124</v>
      </c>
      <c r="C43" s="85" t="s">
        <v>178</v>
      </c>
      <c r="D43" s="85" t="s">
        <v>180</v>
      </c>
      <c r="E43" s="84" t="s">
        <v>187</v>
      </c>
    </row>
    <row r="44" spans="1:8" ht="25.5" x14ac:dyDescent="0.2">
      <c r="A44" s="83" t="s">
        <v>125</v>
      </c>
      <c r="B44" s="84" t="s">
        <v>188</v>
      </c>
      <c r="C44" s="84" t="s">
        <v>189</v>
      </c>
      <c r="D44" s="85" t="s">
        <v>180</v>
      </c>
      <c r="E44" s="85"/>
    </row>
    <row r="45" spans="1:8" ht="25.5" x14ac:dyDescent="0.2">
      <c r="A45" s="83" t="s">
        <v>126</v>
      </c>
      <c r="B45" s="84" t="s">
        <v>26</v>
      </c>
      <c r="C45" s="85"/>
      <c r="D45" s="85" t="s">
        <v>180</v>
      </c>
      <c r="E45" s="87" t="s">
        <v>229</v>
      </c>
    </row>
    <row r="46" spans="1:8" x14ac:dyDescent="0.2">
      <c r="A46" s="83" t="s">
        <v>127</v>
      </c>
      <c r="B46" s="84" t="s">
        <v>190</v>
      </c>
      <c r="C46" s="84" t="s">
        <v>192</v>
      </c>
      <c r="D46" s="85" t="s">
        <v>180</v>
      </c>
      <c r="E46" s="84" t="s">
        <v>191</v>
      </c>
    </row>
    <row r="47" spans="1:8" x14ac:dyDescent="0.2">
      <c r="A47" s="83" t="s">
        <v>128</v>
      </c>
      <c r="B47" s="84" t="s">
        <v>193</v>
      </c>
      <c r="C47" s="85"/>
      <c r="D47" s="85" t="s">
        <v>180</v>
      </c>
      <c r="E47" s="80" t="s">
        <v>266</v>
      </c>
      <c r="H47" s="71"/>
    </row>
    <row r="48" spans="1:8" ht="25.5" x14ac:dyDescent="0.2">
      <c r="A48" s="83" t="s">
        <v>129</v>
      </c>
      <c r="B48" s="84" t="s">
        <v>130</v>
      </c>
      <c r="C48" s="85"/>
      <c r="D48" s="84" t="s">
        <v>27</v>
      </c>
      <c r="E48" s="88" t="s">
        <v>199</v>
      </c>
      <c r="H48" s="71"/>
    </row>
    <row r="49" spans="1:8" x14ac:dyDescent="0.2">
      <c r="A49" s="83" t="s">
        <v>131</v>
      </c>
      <c r="B49" s="84" t="s">
        <v>194</v>
      </c>
      <c r="C49" s="85"/>
      <c r="D49" s="85" t="s">
        <v>180</v>
      </c>
      <c r="E49" s="84" t="s">
        <v>187</v>
      </c>
    </row>
    <row r="50" spans="1:8" x14ac:dyDescent="0.2">
      <c r="A50" s="83" t="s">
        <v>132</v>
      </c>
      <c r="B50" s="84" t="s">
        <v>195</v>
      </c>
      <c r="C50" s="85"/>
      <c r="D50" s="85" t="s">
        <v>180</v>
      </c>
      <c r="E50" s="85"/>
    </row>
    <row r="51" spans="1:8" x14ac:dyDescent="0.2">
      <c r="A51" s="83" t="s">
        <v>133</v>
      </c>
      <c r="B51" s="84" t="s">
        <v>357</v>
      </c>
      <c r="C51" s="85"/>
      <c r="D51" s="85" t="s">
        <v>180</v>
      </c>
      <c r="E51" s="84" t="s">
        <v>191</v>
      </c>
    </row>
    <row r="52" spans="1:8" x14ac:dyDescent="0.2">
      <c r="A52" s="83" t="s">
        <v>134</v>
      </c>
      <c r="B52" s="84" t="s">
        <v>358</v>
      </c>
      <c r="C52" s="85"/>
      <c r="D52" s="85" t="s">
        <v>180</v>
      </c>
      <c r="E52" s="80"/>
      <c r="H52" s="71"/>
    </row>
    <row r="53" spans="1:8" ht="25.5" x14ac:dyDescent="0.2">
      <c r="A53" s="83" t="s">
        <v>135</v>
      </c>
      <c r="B53" s="84" t="s">
        <v>196</v>
      </c>
      <c r="C53" s="84"/>
      <c r="D53" s="85" t="s">
        <v>180</v>
      </c>
      <c r="E53" s="84" t="s">
        <v>359</v>
      </c>
    </row>
    <row r="54" spans="1:8" x14ac:dyDescent="0.2">
      <c r="A54" s="83" t="s">
        <v>136</v>
      </c>
      <c r="B54" s="84" t="s">
        <v>197</v>
      </c>
      <c r="C54" s="85"/>
      <c r="D54" s="84" t="s">
        <v>27</v>
      </c>
      <c r="E54" s="85"/>
      <c r="H54" s="71"/>
    </row>
    <row r="55" spans="1:8" x14ac:dyDescent="0.2">
      <c r="A55" s="80" t="s">
        <v>137</v>
      </c>
      <c r="B55" s="81" t="s">
        <v>138</v>
      </c>
      <c r="C55" s="82"/>
      <c r="D55" s="85" t="s">
        <v>180</v>
      </c>
      <c r="E55" s="80" t="s">
        <v>265</v>
      </c>
    </row>
    <row r="56" spans="1:8" x14ac:dyDescent="0.2">
      <c r="B56" s="79"/>
      <c r="C56" s="79"/>
    </row>
    <row r="57" spans="1:8" x14ac:dyDescent="0.2">
      <c r="A57" s="130" t="s">
        <v>360</v>
      </c>
      <c r="B57" s="79"/>
      <c r="C57" s="79"/>
    </row>
    <row r="58" spans="1:8" x14ac:dyDescent="0.2">
      <c r="B58" s="191" t="s">
        <v>361</v>
      </c>
      <c r="C58" s="191"/>
    </row>
    <row r="59" spans="1:8" x14ac:dyDescent="0.2">
      <c r="C59" s="79"/>
    </row>
    <row r="60" spans="1:8" x14ac:dyDescent="0.2">
      <c r="A60" s="71"/>
      <c r="C60" s="79"/>
    </row>
    <row r="61" spans="1:8" x14ac:dyDescent="0.2">
      <c r="B61" s="71"/>
      <c r="C61" s="79"/>
    </row>
    <row r="62" spans="1:8" x14ac:dyDescent="0.2">
      <c r="B62" s="71"/>
      <c r="C62" s="79"/>
    </row>
    <row r="63" spans="1:8" x14ac:dyDescent="0.2">
      <c r="C63" s="79"/>
    </row>
  </sheetData>
  <sheetProtection password="C03E" sheet="1" objects="1" scenarios="1"/>
  <pageMargins left="0.7" right="0.7" top="0.75" bottom="0.75" header="0.3" footer="0.3"/>
  <pageSetup paperSize="9" orientation="portrait" horizontalDpi="30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G25"/>
  <sheetViews>
    <sheetView workbookViewId="0"/>
  </sheetViews>
  <sheetFormatPr baseColWidth="10" defaultRowHeight="12.75" x14ac:dyDescent="0.2"/>
  <cols>
    <col min="2" max="2" width="11.6640625" customWidth="1"/>
    <col min="5" max="5" width="26.5" customWidth="1"/>
    <col min="6" max="6" width="15.5" customWidth="1"/>
    <col min="7" max="7" width="15.33203125" customWidth="1"/>
  </cols>
  <sheetData>
    <row r="2" spans="1:7" x14ac:dyDescent="0.2">
      <c r="B2" s="130" t="s">
        <v>289</v>
      </c>
    </row>
    <row r="3" spans="1:7" x14ac:dyDescent="0.2">
      <c r="G3" s="210" t="s">
        <v>302</v>
      </c>
    </row>
    <row r="4" spans="1:7" x14ac:dyDescent="0.2">
      <c r="A4">
        <v>1</v>
      </c>
      <c r="B4" t="s">
        <v>290</v>
      </c>
      <c r="D4" s="7"/>
      <c r="F4" t="s">
        <v>291</v>
      </c>
      <c r="G4" t="s">
        <v>322</v>
      </c>
    </row>
    <row r="5" spans="1:7" x14ac:dyDescent="0.2">
      <c r="A5">
        <v>2</v>
      </c>
      <c r="B5" t="s">
        <v>292</v>
      </c>
      <c r="F5" t="s">
        <v>293</v>
      </c>
      <c r="G5" t="s">
        <v>322</v>
      </c>
    </row>
    <row r="6" spans="1:7" x14ac:dyDescent="0.2">
      <c r="A6">
        <v>3</v>
      </c>
      <c r="B6" t="s">
        <v>294</v>
      </c>
      <c r="D6" s="7"/>
      <c r="F6" t="s">
        <v>295</v>
      </c>
      <c r="G6" t="s">
        <v>322</v>
      </c>
    </row>
    <row r="7" spans="1:7" x14ac:dyDescent="0.2">
      <c r="A7">
        <v>4</v>
      </c>
      <c r="B7" t="s">
        <v>296</v>
      </c>
      <c r="D7" s="7"/>
      <c r="F7" t="s">
        <v>297</v>
      </c>
      <c r="G7" t="s">
        <v>322</v>
      </c>
    </row>
    <row r="8" spans="1:7" x14ac:dyDescent="0.2">
      <c r="A8">
        <v>5</v>
      </c>
      <c r="B8" t="s">
        <v>298</v>
      </c>
      <c r="F8" t="s">
        <v>295</v>
      </c>
      <c r="G8" t="s">
        <v>322</v>
      </c>
    </row>
    <row r="9" spans="1:7" x14ac:dyDescent="0.2">
      <c r="A9">
        <v>6</v>
      </c>
      <c r="B9" t="s">
        <v>299</v>
      </c>
      <c r="F9" t="s">
        <v>300</v>
      </c>
      <c r="G9" t="s">
        <v>322</v>
      </c>
    </row>
    <row r="10" spans="1:7" x14ac:dyDescent="0.2">
      <c r="A10">
        <v>7</v>
      </c>
      <c r="B10" t="s">
        <v>301</v>
      </c>
      <c r="G10" t="s">
        <v>322</v>
      </c>
    </row>
    <row r="11" spans="1:7" x14ac:dyDescent="0.2">
      <c r="A11">
        <v>8</v>
      </c>
      <c r="B11" t="s">
        <v>303</v>
      </c>
      <c r="F11" t="s">
        <v>304</v>
      </c>
      <c r="G11" t="s">
        <v>322</v>
      </c>
    </row>
    <row r="12" spans="1:7" x14ac:dyDescent="0.2">
      <c r="A12">
        <v>9</v>
      </c>
      <c r="B12" t="s">
        <v>305</v>
      </c>
      <c r="F12" t="s">
        <v>306</v>
      </c>
    </row>
    <row r="13" spans="1:7" x14ac:dyDescent="0.2">
      <c r="C13" t="s">
        <v>307</v>
      </c>
      <c r="G13" t="s">
        <v>322</v>
      </c>
    </row>
    <row r="14" spans="1:7" x14ac:dyDescent="0.2">
      <c r="C14" t="s">
        <v>308</v>
      </c>
      <c r="G14" t="s">
        <v>322</v>
      </c>
    </row>
    <row r="15" spans="1:7" x14ac:dyDescent="0.2">
      <c r="C15" t="s">
        <v>21</v>
      </c>
      <c r="G15" t="s">
        <v>322</v>
      </c>
    </row>
    <row r="16" spans="1:7" x14ac:dyDescent="0.2">
      <c r="C16" t="s">
        <v>309</v>
      </c>
      <c r="G16" t="s">
        <v>322</v>
      </c>
    </row>
    <row r="17" spans="1:7" x14ac:dyDescent="0.2">
      <c r="C17" t="s">
        <v>310</v>
      </c>
      <c r="G17" t="s">
        <v>322</v>
      </c>
    </row>
    <row r="18" spans="1:7" ht="21.75" customHeight="1" thickBot="1" x14ac:dyDescent="0.25">
      <c r="A18">
        <v>10</v>
      </c>
      <c r="B18" t="s">
        <v>311</v>
      </c>
      <c r="F18" t="s">
        <v>312</v>
      </c>
      <c r="G18" s="211" t="s">
        <v>322</v>
      </c>
    </row>
    <row r="19" spans="1:7" ht="21.75" customHeight="1" thickTop="1" x14ac:dyDescent="0.2">
      <c r="G19" s="212"/>
    </row>
    <row r="20" spans="1:7" ht="21.75" customHeight="1" x14ac:dyDescent="0.2">
      <c r="A20">
        <v>11</v>
      </c>
      <c r="B20" t="s">
        <v>313</v>
      </c>
      <c r="F20" t="s">
        <v>314</v>
      </c>
      <c r="G20" t="s">
        <v>322</v>
      </c>
    </row>
    <row r="21" spans="1:7" x14ac:dyDescent="0.2">
      <c r="A21">
        <v>12</v>
      </c>
      <c r="B21" t="s">
        <v>315</v>
      </c>
      <c r="F21" t="s">
        <v>316</v>
      </c>
      <c r="G21" t="s">
        <v>322</v>
      </c>
    </row>
    <row r="22" spans="1:7" x14ac:dyDescent="0.2">
      <c r="A22">
        <v>13</v>
      </c>
      <c r="B22" t="s">
        <v>317</v>
      </c>
      <c r="F22" t="s">
        <v>318</v>
      </c>
      <c r="G22" t="s">
        <v>322</v>
      </c>
    </row>
    <row r="23" spans="1:7" x14ac:dyDescent="0.2">
      <c r="A23">
        <v>14</v>
      </c>
      <c r="B23" t="s">
        <v>319</v>
      </c>
      <c r="F23" t="s">
        <v>318</v>
      </c>
      <c r="G23" t="s">
        <v>322</v>
      </c>
    </row>
    <row r="24" spans="1:7" ht="20.25" customHeight="1" thickBot="1" x14ac:dyDescent="0.25">
      <c r="A24">
        <v>15</v>
      </c>
      <c r="B24" t="s">
        <v>320</v>
      </c>
      <c r="F24" t="s">
        <v>321</v>
      </c>
      <c r="G24" s="211" t="s">
        <v>322</v>
      </c>
    </row>
    <row r="25" spans="1:7" ht="13.5" thickTop="1" x14ac:dyDescent="0.2"/>
  </sheetData>
  <sheetProtection password="C03E" sheet="1" objects="1" scenarios="1"/>
  <pageMargins left="0.7" right="0.7" top="0.75" bottom="0.75" header="0.3" footer="0.3"/>
  <pageSetup paperSize="9"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2C620-A8CD-43AC-8818-E62A547A765D}">
  <dimension ref="B5:I22"/>
  <sheetViews>
    <sheetView topLeftCell="A4" workbookViewId="0">
      <selection activeCell="G43" sqref="G43:G44"/>
    </sheetView>
  </sheetViews>
  <sheetFormatPr baseColWidth="10" defaultRowHeight="12.75" x14ac:dyDescent="0.2"/>
  <cols>
    <col min="1" max="2" width="12" style="360"/>
    <col min="3" max="3" width="11.1640625" style="360" customWidth="1"/>
    <col min="4" max="7" width="12" style="360"/>
    <col min="8" max="8" width="26.6640625" style="360" customWidth="1"/>
    <col min="9" max="9" width="13.83203125" style="360" customWidth="1"/>
    <col min="10" max="16384" width="12" style="360"/>
  </cols>
  <sheetData>
    <row r="5" spans="2:9" ht="15.75" x14ac:dyDescent="0.25">
      <c r="C5" s="361" t="s">
        <v>411</v>
      </c>
      <c r="D5" s="362"/>
      <c r="E5" s="362"/>
      <c r="F5" s="362"/>
      <c r="G5" s="362"/>
      <c r="H5" s="362"/>
      <c r="I5" s="362"/>
    </row>
    <row r="6" spans="2:9" x14ac:dyDescent="0.2">
      <c r="C6" s="362"/>
      <c r="D6" s="362"/>
      <c r="E6" s="362"/>
      <c r="F6" s="362"/>
      <c r="G6" s="362"/>
      <c r="H6" s="362"/>
      <c r="I6" s="362"/>
    </row>
    <row r="7" spans="2:9" x14ac:dyDescent="0.2">
      <c r="C7" s="364"/>
      <c r="D7" s="364"/>
      <c r="E7" s="364"/>
      <c r="F7" s="364"/>
      <c r="G7" s="364"/>
      <c r="H7" s="364"/>
      <c r="I7" s="364"/>
    </row>
    <row r="8" spans="2:9" ht="15" x14ac:dyDescent="0.25">
      <c r="C8" s="364"/>
      <c r="D8" s="365" t="s">
        <v>406</v>
      </c>
      <c r="E8" s="365"/>
      <c r="F8" s="365"/>
      <c r="G8" s="365"/>
      <c r="H8" s="365"/>
      <c r="I8" s="366"/>
    </row>
    <row r="9" spans="2:9" ht="15" x14ac:dyDescent="0.25">
      <c r="C9" s="364"/>
      <c r="D9" s="365"/>
      <c r="E9" s="365"/>
      <c r="F9" s="365"/>
      <c r="G9" s="365"/>
      <c r="H9" s="365"/>
      <c r="I9" s="366"/>
    </row>
    <row r="10" spans="2:9" ht="15" x14ac:dyDescent="0.25">
      <c r="C10" s="364"/>
      <c r="D10" s="365"/>
      <c r="E10" s="365"/>
      <c r="F10" s="365"/>
      <c r="G10" s="365"/>
      <c r="H10" s="365"/>
      <c r="I10" s="366"/>
    </row>
    <row r="11" spans="2:9" ht="15" x14ac:dyDescent="0.25">
      <c r="C11" s="364"/>
      <c r="D11" s="365" t="s">
        <v>407</v>
      </c>
      <c r="E11" s="365"/>
      <c r="F11" s="365"/>
      <c r="G11" s="365"/>
      <c r="H11" s="365"/>
      <c r="I11" s="366"/>
    </row>
    <row r="12" spans="2:9" ht="15" x14ac:dyDescent="0.25">
      <c r="C12" s="364"/>
      <c r="D12" s="365"/>
      <c r="E12" s="365"/>
      <c r="F12" s="365"/>
      <c r="G12" s="365"/>
      <c r="H12" s="365"/>
      <c r="I12" s="366"/>
    </row>
    <row r="13" spans="2:9" ht="15" x14ac:dyDescent="0.25">
      <c r="C13" s="364"/>
      <c r="D13" s="365"/>
      <c r="E13" s="365"/>
      <c r="F13" s="365"/>
      <c r="G13" s="365"/>
      <c r="H13" s="365"/>
      <c r="I13" s="366"/>
    </row>
    <row r="14" spans="2:9" ht="15" x14ac:dyDescent="0.25">
      <c r="C14" s="364"/>
      <c r="D14" s="365"/>
      <c r="E14" s="365"/>
      <c r="F14" s="365"/>
      <c r="G14" s="365"/>
      <c r="H14" s="365"/>
      <c r="I14" s="366"/>
    </row>
    <row r="15" spans="2:9" ht="15" x14ac:dyDescent="0.25">
      <c r="C15" s="364"/>
      <c r="D15" s="365"/>
      <c r="E15" s="365"/>
      <c r="F15" s="365"/>
      <c r="G15" s="365"/>
      <c r="H15" s="365"/>
      <c r="I15" s="366"/>
    </row>
    <row r="16" spans="2:9" ht="15" x14ac:dyDescent="0.25">
      <c r="B16" s="363"/>
      <c r="C16" s="367"/>
      <c r="D16" s="368" t="s">
        <v>408</v>
      </c>
      <c r="E16" s="369"/>
      <c r="F16" s="370"/>
      <c r="G16" s="370"/>
      <c r="H16" s="370"/>
      <c r="I16" s="370"/>
    </row>
    <row r="17" spans="2:9" ht="15" x14ac:dyDescent="0.25">
      <c r="B17" s="363"/>
      <c r="C17" s="367"/>
      <c r="D17" s="371" t="s">
        <v>409</v>
      </c>
      <c r="E17" s="370"/>
      <c r="F17" s="370"/>
      <c r="G17" s="370"/>
      <c r="H17" s="370"/>
      <c r="I17" s="370"/>
    </row>
    <row r="18" spans="2:9" ht="15" x14ac:dyDescent="0.25">
      <c r="B18" s="363"/>
      <c r="C18" s="367"/>
      <c r="D18" s="371" t="s">
        <v>410</v>
      </c>
      <c r="E18" s="370"/>
      <c r="F18" s="370"/>
      <c r="G18" s="372"/>
      <c r="H18" s="370"/>
      <c r="I18" s="370"/>
    </row>
    <row r="19" spans="2:9" x14ac:dyDescent="0.2">
      <c r="B19" s="363"/>
      <c r="C19" s="367"/>
      <c r="D19" s="367"/>
      <c r="E19" s="367"/>
      <c r="F19" s="367"/>
      <c r="G19" s="367"/>
      <c r="H19" s="367"/>
      <c r="I19" s="367"/>
    </row>
    <row r="20" spans="2:9" x14ac:dyDescent="0.2">
      <c r="B20" s="363"/>
      <c r="C20" s="363"/>
      <c r="D20" s="363"/>
      <c r="E20" s="363"/>
      <c r="F20" s="363"/>
      <c r="G20" s="363"/>
      <c r="H20" s="363"/>
      <c r="I20" s="363"/>
    </row>
    <row r="21" spans="2:9" x14ac:dyDescent="0.2">
      <c r="B21" s="363"/>
      <c r="C21" s="363"/>
      <c r="D21" s="363"/>
      <c r="E21" s="363"/>
      <c r="F21" s="363"/>
      <c r="G21" s="363"/>
      <c r="H21" s="363"/>
      <c r="I21" s="363"/>
    </row>
    <row r="22" spans="2:9" x14ac:dyDescent="0.2">
      <c r="B22" s="363"/>
      <c r="C22" s="363"/>
      <c r="D22" s="363"/>
      <c r="E22" s="363"/>
      <c r="F22" s="363"/>
      <c r="G22" s="363"/>
      <c r="H22" s="363"/>
      <c r="I22" s="363"/>
    </row>
  </sheetData>
  <sheetProtection algorithmName="SHA-512" hashValue="dk4As8vcLV4K+u1DWr//o1lwfoX+h/zb4ZLBNduQexBM6idnn1N/OXTY9MsgoaXtR+n0zzxX4c1YHa7NChTIyg==" saltValue="wc3NgJtzZD3DoMptvBFpvg==" spinCount="100000" sheet="1" formatCells="0" formatColumns="0" formatRows="0" insertColumns="0" insertRows="0" insertHyperlinks="0" deleteColumns="0" deleteRows="0" sort="0" autoFilter="0" pivotTables="0"/>
  <mergeCells count="2">
    <mergeCell ref="D8:H10"/>
    <mergeCell ref="D11:H15"/>
  </mergeCells>
  <hyperlinks>
    <hyperlink ref="D18:G18" r:id="rId1" display="Publicado por www.ignacioonline.com.ar" xr:uid="{A1DA1F0F-D5B5-43CE-B844-906E015DF1F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Limpia</vt:lpstr>
      <vt:lpstr>Tablas</vt:lpstr>
      <vt:lpstr>Instructivo</vt:lpstr>
      <vt:lpstr>Aclaraciones</vt:lpstr>
      <vt:lpstr>Metodologia</vt:lpstr>
      <vt:lpstr>Créditos</vt:lpstr>
      <vt:lpstr>abril</vt:lpstr>
      <vt:lpstr>agost</vt:lpstr>
      <vt:lpstr>Limpia!Área_de_impresión</vt:lpstr>
      <vt:lpstr>diciem</vt:lpstr>
      <vt:lpstr>enero</vt:lpstr>
      <vt:lpstr>febre</vt:lpstr>
      <vt:lpstr>julio</vt:lpstr>
      <vt:lpstr>junio</vt:lpstr>
      <vt:lpstr>marzo</vt:lpstr>
      <vt:lpstr>mayo</vt:lpstr>
      <vt:lpstr>novie</vt:lpstr>
      <vt:lpstr>octub</vt:lpstr>
      <vt:lpstr>septi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dc:creator>
  <cp:lastModifiedBy>Ignacio</cp:lastModifiedBy>
  <cp:lastPrinted>2021-06-25T16:21:18Z</cp:lastPrinted>
  <dcterms:created xsi:type="dcterms:W3CDTF">2000-02-29T21:56:57Z</dcterms:created>
  <dcterms:modified xsi:type="dcterms:W3CDTF">2021-06-26T03:24:25Z</dcterms:modified>
</cp:coreProperties>
</file>