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ANANCIAS 2021\Planillas ganancias 2021\"/>
    </mc:Choice>
  </mc:AlternateContent>
  <xr:revisionPtr revIDLastSave="0" documentId="13_ncr:1_{00A4CAC6-1E93-43E3-8FE2-ECB756E5DF7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Neto Mínimo" sheetId="42" state="hidden" r:id="rId1"/>
    <sheet name="Caso 1" sheetId="45" r:id="rId2"/>
    <sheet name="Caso 2" sheetId="46" r:id="rId3"/>
    <sheet name="Caso 3" sheetId="44" r:id="rId4"/>
    <sheet name="Hoja1" sheetId="47" r:id="rId5"/>
    <sheet name="Tablas" sheetId="12" state="hidden" r:id="rId6"/>
  </sheets>
  <definedNames>
    <definedName name="_xlnm._FilterDatabase" localSheetId="1" hidden="1">'Caso 1'!$A$63:$B$67</definedName>
    <definedName name="_xlnm._FilterDatabase" localSheetId="2" hidden="1">'Caso 2'!$A$63:$B$67</definedName>
    <definedName name="_xlnm._FilterDatabase" localSheetId="3" hidden="1">'Caso 3'!$A$63:$B$67</definedName>
    <definedName name="_xlnm._FilterDatabase" localSheetId="0" hidden="1">'Neto Mínimo'!#REF!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46" l="1"/>
  <c r="J75" i="46"/>
  <c r="I75" i="46"/>
  <c r="H75" i="46"/>
  <c r="G75" i="46"/>
  <c r="F75" i="46"/>
  <c r="E75" i="46"/>
  <c r="D75" i="46"/>
  <c r="C75" i="46"/>
  <c r="C71" i="46"/>
  <c r="D71" i="46" s="1"/>
  <c r="E71" i="46" s="1"/>
  <c r="F71" i="46" s="1"/>
  <c r="G71" i="46" s="1"/>
  <c r="H71" i="46" s="1"/>
  <c r="I71" i="46" s="1"/>
  <c r="J71" i="46" s="1"/>
  <c r="K71" i="46" s="1"/>
  <c r="L71" i="46" s="1"/>
  <c r="M71" i="46" s="1"/>
  <c r="C70" i="46"/>
  <c r="D70" i="46" s="1"/>
  <c r="E70" i="46" s="1"/>
  <c r="F70" i="46" s="1"/>
  <c r="G70" i="46" s="1"/>
  <c r="H70" i="46" s="1"/>
  <c r="I70" i="46" s="1"/>
  <c r="J70" i="46" s="1"/>
  <c r="K70" i="46" s="1"/>
  <c r="L70" i="46" s="1"/>
  <c r="M70" i="46" s="1"/>
  <c r="E69" i="46"/>
  <c r="F69" i="46" s="1"/>
  <c r="G69" i="46" s="1"/>
  <c r="H69" i="46" s="1"/>
  <c r="I69" i="46" s="1"/>
  <c r="J69" i="46" s="1"/>
  <c r="K69" i="46" s="1"/>
  <c r="L69" i="46" s="1"/>
  <c r="M69" i="46" s="1"/>
  <c r="C69" i="46"/>
  <c r="D69" i="46" s="1"/>
  <c r="M67" i="46"/>
  <c r="L67" i="46"/>
  <c r="K67" i="46"/>
  <c r="J67" i="46"/>
  <c r="I67" i="46"/>
  <c r="H67" i="46"/>
  <c r="G67" i="46"/>
  <c r="F67" i="46"/>
  <c r="E67" i="46"/>
  <c r="D67" i="46"/>
  <c r="C67" i="46"/>
  <c r="B67" i="46"/>
  <c r="A67" i="46"/>
  <c r="M66" i="46"/>
  <c r="L66" i="46"/>
  <c r="K66" i="46"/>
  <c r="J66" i="46"/>
  <c r="I66" i="46"/>
  <c r="H66" i="46"/>
  <c r="G66" i="46"/>
  <c r="F66" i="46"/>
  <c r="E66" i="46"/>
  <c r="D66" i="46"/>
  <c r="C66" i="46"/>
  <c r="B66" i="46"/>
  <c r="A66" i="46"/>
  <c r="B75" i="46"/>
  <c r="C76" i="46" s="1"/>
  <c r="B57" i="46"/>
  <c r="E49" i="46"/>
  <c r="E51" i="46" s="1"/>
  <c r="M48" i="46"/>
  <c r="M50" i="46" s="1"/>
  <c r="L48" i="46"/>
  <c r="L50" i="46" s="1"/>
  <c r="K48" i="46"/>
  <c r="K50" i="46" s="1"/>
  <c r="J48" i="46"/>
  <c r="J50" i="46" s="1"/>
  <c r="I48" i="46"/>
  <c r="I49" i="46" s="1"/>
  <c r="I51" i="46" s="1"/>
  <c r="H48" i="46"/>
  <c r="H50" i="46" s="1"/>
  <c r="G48" i="46"/>
  <c r="G50" i="46" s="1"/>
  <c r="F48" i="46"/>
  <c r="F50" i="46" s="1"/>
  <c r="E48" i="46"/>
  <c r="E50" i="46" s="1"/>
  <c r="D48" i="46"/>
  <c r="D49" i="46" s="1"/>
  <c r="D51" i="46" s="1"/>
  <c r="C48" i="46"/>
  <c r="C50" i="46" s="1"/>
  <c r="B48" i="46"/>
  <c r="N38" i="46"/>
  <c r="P37" i="46"/>
  <c r="O36" i="46"/>
  <c r="B36" i="46"/>
  <c r="O35" i="46"/>
  <c r="B35" i="46"/>
  <c r="O33" i="46"/>
  <c r="O32" i="46" s="1"/>
  <c r="B33" i="46"/>
  <c r="P32" i="46"/>
  <c r="B32" i="46"/>
  <c r="N27" i="46"/>
  <c r="N26" i="46"/>
  <c r="N25" i="46"/>
  <c r="N24" i="46"/>
  <c r="N23" i="46"/>
  <c r="N22" i="46"/>
  <c r="N21" i="46"/>
  <c r="N20" i="46"/>
  <c r="N19" i="46"/>
  <c r="N18" i="46"/>
  <c r="B13" i="46"/>
  <c r="B10" i="46"/>
  <c r="K9" i="46"/>
  <c r="K10" i="46" s="1"/>
  <c r="J9" i="46"/>
  <c r="J10" i="46" s="1"/>
  <c r="I9" i="46"/>
  <c r="I10" i="46" s="1"/>
  <c r="H9" i="46"/>
  <c r="H10" i="46" s="1"/>
  <c r="G9" i="46"/>
  <c r="G10" i="46" s="1"/>
  <c r="F9" i="46"/>
  <c r="F10" i="46" s="1"/>
  <c r="E9" i="46"/>
  <c r="E10" i="46" s="1"/>
  <c r="E11" i="46" s="1"/>
  <c r="D9" i="46"/>
  <c r="D10" i="46" s="1"/>
  <c r="D11" i="46" s="1"/>
  <c r="C9" i="46"/>
  <c r="C10" i="46" s="1"/>
  <c r="B9" i="46"/>
  <c r="L6" i="46"/>
  <c r="K6" i="46"/>
  <c r="J6" i="46"/>
  <c r="I6" i="46"/>
  <c r="H6" i="46"/>
  <c r="G6" i="46"/>
  <c r="K5" i="46"/>
  <c r="K59" i="46" s="1"/>
  <c r="J5" i="46"/>
  <c r="J59" i="46" s="1"/>
  <c r="I5" i="46"/>
  <c r="I59" i="46" s="1"/>
  <c r="H5" i="46"/>
  <c r="H59" i="46" s="1"/>
  <c r="F5" i="46"/>
  <c r="F59" i="46" s="1"/>
  <c r="E5" i="46"/>
  <c r="E59" i="46" s="1"/>
  <c r="D5" i="46"/>
  <c r="D59" i="46" s="1"/>
  <c r="C5" i="46"/>
  <c r="C59" i="46" s="1"/>
  <c r="B5" i="46"/>
  <c r="N4" i="46"/>
  <c r="M75" i="46"/>
  <c r="B37" i="44"/>
  <c r="B36" i="44"/>
  <c r="P37" i="44"/>
  <c r="O37" i="44"/>
  <c r="C70" i="44"/>
  <c r="D70" i="44" s="1"/>
  <c r="E70" i="44" s="1"/>
  <c r="F70" i="44" s="1"/>
  <c r="G70" i="44" s="1"/>
  <c r="H70" i="44" s="1"/>
  <c r="I70" i="44" s="1"/>
  <c r="J70" i="44" s="1"/>
  <c r="K70" i="44" s="1"/>
  <c r="L70" i="44" s="1"/>
  <c r="M70" i="44" s="1"/>
  <c r="O36" i="44"/>
  <c r="P37" i="45"/>
  <c r="C70" i="45"/>
  <c r="D70" i="45" s="1"/>
  <c r="E70" i="45" s="1"/>
  <c r="F70" i="45" s="1"/>
  <c r="G70" i="45" s="1"/>
  <c r="H70" i="45" s="1"/>
  <c r="I70" i="45" s="1"/>
  <c r="J70" i="45" s="1"/>
  <c r="K70" i="45" s="1"/>
  <c r="L70" i="45" s="1"/>
  <c r="M70" i="45" s="1"/>
  <c r="O36" i="45"/>
  <c r="B36" i="45" s="1"/>
  <c r="B64" i="45"/>
  <c r="B66" i="45" s="1"/>
  <c r="K75" i="45"/>
  <c r="J75" i="45"/>
  <c r="K76" i="45" s="1"/>
  <c r="K77" i="45" s="1"/>
  <c r="K29" i="45" s="1"/>
  <c r="I75" i="45"/>
  <c r="H75" i="45"/>
  <c r="G75" i="45"/>
  <c r="F75" i="45"/>
  <c r="E75" i="45"/>
  <c r="D75" i="45"/>
  <c r="C75" i="45"/>
  <c r="C71" i="45"/>
  <c r="C69" i="45"/>
  <c r="D69" i="45" s="1"/>
  <c r="E69" i="45" s="1"/>
  <c r="F69" i="45" s="1"/>
  <c r="G69" i="45" s="1"/>
  <c r="H69" i="45" s="1"/>
  <c r="I69" i="45" s="1"/>
  <c r="J69" i="45" s="1"/>
  <c r="K69" i="45" s="1"/>
  <c r="L69" i="45" s="1"/>
  <c r="M69" i="45" s="1"/>
  <c r="M67" i="45"/>
  <c r="L67" i="45"/>
  <c r="K67" i="45"/>
  <c r="J67" i="45"/>
  <c r="I67" i="45"/>
  <c r="H67" i="45"/>
  <c r="G67" i="45"/>
  <c r="F67" i="45"/>
  <c r="E67" i="45"/>
  <c r="D67" i="45"/>
  <c r="C67" i="45"/>
  <c r="B67" i="45"/>
  <c r="A67" i="45"/>
  <c r="M66" i="45"/>
  <c r="L66" i="45"/>
  <c r="K66" i="45"/>
  <c r="J66" i="45"/>
  <c r="I66" i="45"/>
  <c r="H66" i="45"/>
  <c r="G66" i="45"/>
  <c r="F66" i="45"/>
  <c r="E66" i="45"/>
  <c r="D66" i="45"/>
  <c r="C66" i="45"/>
  <c r="A66" i="45"/>
  <c r="B75" i="45"/>
  <c r="B57" i="45"/>
  <c r="M48" i="45"/>
  <c r="M49" i="45" s="1"/>
  <c r="M51" i="45" s="1"/>
  <c r="L48" i="45"/>
  <c r="L50" i="45" s="1"/>
  <c r="K48" i="45"/>
  <c r="K50" i="45" s="1"/>
  <c r="J48" i="45"/>
  <c r="J50" i="45" s="1"/>
  <c r="I48" i="45"/>
  <c r="I49" i="45" s="1"/>
  <c r="I51" i="45" s="1"/>
  <c r="H48" i="45"/>
  <c r="H50" i="45" s="1"/>
  <c r="G48" i="45"/>
  <c r="G50" i="45" s="1"/>
  <c r="F48" i="45"/>
  <c r="F50" i="45" s="1"/>
  <c r="E48" i="45"/>
  <c r="E50" i="45" s="1"/>
  <c r="D48" i="45"/>
  <c r="D50" i="45" s="1"/>
  <c r="C48" i="45"/>
  <c r="C50" i="45" s="1"/>
  <c r="B48" i="45"/>
  <c r="N38" i="45"/>
  <c r="O35" i="45"/>
  <c r="B35" i="45"/>
  <c r="O33" i="45"/>
  <c r="B33" i="45" s="1"/>
  <c r="P32" i="45"/>
  <c r="N27" i="45"/>
  <c r="N26" i="45"/>
  <c r="N25" i="45"/>
  <c r="N24" i="45"/>
  <c r="N23" i="45"/>
  <c r="N22" i="45"/>
  <c r="N21" i="45"/>
  <c r="N20" i="45"/>
  <c r="N19" i="45"/>
  <c r="N18" i="45"/>
  <c r="B13" i="45"/>
  <c r="C13" i="45" s="1"/>
  <c r="I10" i="45"/>
  <c r="K9" i="45"/>
  <c r="K10" i="45" s="1"/>
  <c r="J9" i="45"/>
  <c r="J10" i="45" s="1"/>
  <c r="I9" i="45"/>
  <c r="H9" i="45"/>
  <c r="H10" i="45" s="1"/>
  <c r="G9" i="45"/>
  <c r="G10" i="45" s="1"/>
  <c r="F9" i="45"/>
  <c r="F10" i="45" s="1"/>
  <c r="E9" i="45"/>
  <c r="E10" i="45" s="1"/>
  <c r="D9" i="45"/>
  <c r="D10" i="45" s="1"/>
  <c r="C9" i="45"/>
  <c r="C10" i="45" s="1"/>
  <c r="B9" i="45"/>
  <c r="B10" i="45" s="1"/>
  <c r="L6" i="45"/>
  <c r="K6" i="45"/>
  <c r="J6" i="45"/>
  <c r="I6" i="45"/>
  <c r="H6" i="45"/>
  <c r="G6" i="45"/>
  <c r="L5" i="45"/>
  <c r="K5" i="45"/>
  <c r="K59" i="45" s="1"/>
  <c r="J5" i="45"/>
  <c r="J59" i="45" s="1"/>
  <c r="I5" i="45"/>
  <c r="I59" i="45" s="1"/>
  <c r="H5" i="45"/>
  <c r="H59" i="45" s="1"/>
  <c r="F5" i="45"/>
  <c r="F59" i="45" s="1"/>
  <c r="E5" i="45"/>
  <c r="E59" i="45" s="1"/>
  <c r="D5" i="45"/>
  <c r="D59" i="45" s="1"/>
  <c r="C5" i="45"/>
  <c r="C59" i="45" s="1"/>
  <c r="B5" i="45"/>
  <c r="B59" i="45" s="1"/>
  <c r="N4" i="45"/>
  <c r="L3" i="45"/>
  <c r="L9" i="45" s="1"/>
  <c r="L10" i="45" s="1"/>
  <c r="N38" i="44"/>
  <c r="N27" i="44"/>
  <c r="N26" i="44"/>
  <c r="N25" i="44"/>
  <c r="N24" i="44"/>
  <c r="N23" i="44"/>
  <c r="N22" i="44"/>
  <c r="N21" i="44"/>
  <c r="N20" i="44"/>
  <c r="N19" i="44"/>
  <c r="N18" i="44"/>
  <c r="N4" i="44"/>
  <c r="K75" i="44"/>
  <c r="J75" i="44"/>
  <c r="I75" i="44"/>
  <c r="H75" i="44"/>
  <c r="G75" i="44"/>
  <c r="F75" i="44"/>
  <c r="E75" i="44"/>
  <c r="D75" i="44"/>
  <c r="C75" i="44"/>
  <c r="G6" i="44"/>
  <c r="L6" i="44"/>
  <c r="K6" i="44"/>
  <c r="J6" i="44"/>
  <c r="I6" i="44"/>
  <c r="H6" i="44"/>
  <c r="O32" i="45" l="1"/>
  <c r="O37" i="45"/>
  <c r="B37" i="45" s="1"/>
  <c r="M49" i="46"/>
  <c r="M51" i="46" s="1"/>
  <c r="I50" i="46"/>
  <c r="K76" i="46"/>
  <c r="K77" i="46" s="1"/>
  <c r="K30" i="46" s="1"/>
  <c r="H11" i="46"/>
  <c r="I11" i="46"/>
  <c r="D76" i="46"/>
  <c r="D77" i="46" s="1"/>
  <c r="C77" i="46"/>
  <c r="C81" i="46" s="1"/>
  <c r="G5" i="46"/>
  <c r="N3" i="46"/>
  <c r="L5" i="46"/>
  <c r="L59" i="46" s="1"/>
  <c r="L9" i="46"/>
  <c r="L10" i="46" s="1"/>
  <c r="B11" i="46"/>
  <c r="F11" i="46"/>
  <c r="J11" i="46"/>
  <c r="C36" i="46"/>
  <c r="D36" i="46" s="1"/>
  <c r="E36" i="46" s="1"/>
  <c r="H49" i="46"/>
  <c r="H51" i="46" s="1"/>
  <c r="D50" i="46"/>
  <c r="M6" i="46"/>
  <c r="N6" i="46" s="1"/>
  <c r="M9" i="46"/>
  <c r="M10" i="46" s="1"/>
  <c r="C11" i="46"/>
  <c r="K11" i="46"/>
  <c r="L49" i="46"/>
  <c r="L51" i="46" s="1"/>
  <c r="F76" i="46"/>
  <c r="F77" i="46" s="1"/>
  <c r="B76" i="46"/>
  <c r="B77" i="46" s="1"/>
  <c r="I76" i="46"/>
  <c r="I77" i="46" s="1"/>
  <c r="E76" i="46"/>
  <c r="E77" i="46" s="1"/>
  <c r="G76" i="46"/>
  <c r="C13" i="46"/>
  <c r="B14" i="46"/>
  <c r="C32" i="46"/>
  <c r="O37" i="46"/>
  <c r="B59" i="46"/>
  <c r="L75" i="46"/>
  <c r="M76" i="46" s="1"/>
  <c r="H76" i="46"/>
  <c r="H77" i="46" s="1"/>
  <c r="B49" i="46"/>
  <c r="B51" i="46" s="1"/>
  <c r="F49" i="46"/>
  <c r="F51" i="46" s="1"/>
  <c r="J49" i="46"/>
  <c r="J51" i="46" s="1"/>
  <c r="B50" i="46"/>
  <c r="C35" i="46"/>
  <c r="C49" i="46"/>
  <c r="C51" i="46" s="1"/>
  <c r="G49" i="46"/>
  <c r="G51" i="46" s="1"/>
  <c r="K49" i="46"/>
  <c r="K51" i="46" s="1"/>
  <c r="J76" i="46"/>
  <c r="J77" i="46" s="1"/>
  <c r="F11" i="45"/>
  <c r="C36" i="44"/>
  <c r="C36" i="45"/>
  <c r="D36" i="45" s="1"/>
  <c r="C37" i="45"/>
  <c r="D37" i="45" s="1"/>
  <c r="J11" i="45"/>
  <c r="B11" i="45"/>
  <c r="K30" i="45"/>
  <c r="M5" i="45"/>
  <c r="N5" i="45" s="1"/>
  <c r="C11" i="45"/>
  <c r="K11" i="45"/>
  <c r="E49" i="45"/>
  <c r="E51" i="45" s="1"/>
  <c r="I50" i="45"/>
  <c r="B32" i="45"/>
  <c r="F76" i="45"/>
  <c r="F77" i="45" s="1"/>
  <c r="B76" i="45"/>
  <c r="B77" i="45" s="1"/>
  <c r="I76" i="45"/>
  <c r="I77" i="45" s="1"/>
  <c r="E76" i="45"/>
  <c r="E77" i="45" s="1"/>
  <c r="H76" i="45"/>
  <c r="H77" i="45" s="1"/>
  <c r="H29" i="45" s="1"/>
  <c r="D76" i="45"/>
  <c r="D77" i="45" s="1"/>
  <c r="L59" i="45"/>
  <c r="L75" i="45"/>
  <c r="L76" i="45" s="1"/>
  <c r="D11" i="45"/>
  <c r="H11" i="45"/>
  <c r="L11" i="45"/>
  <c r="M50" i="45"/>
  <c r="B14" i="45"/>
  <c r="B16" i="45" s="1"/>
  <c r="D71" i="45"/>
  <c r="E71" i="45" s="1"/>
  <c r="F71" i="45" s="1"/>
  <c r="G71" i="45" s="1"/>
  <c r="H71" i="45" s="1"/>
  <c r="I71" i="45" s="1"/>
  <c r="J71" i="45" s="1"/>
  <c r="K71" i="45" s="1"/>
  <c r="L71" i="45" s="1"/>
  <c r="M71" i="45" s="1"/>
  <c r="C76" i="45"/>
  <c r="C77" i="45" s="1"/>
  <c r="M3" i="45"/>
  <c r="M6" i="45" s="1"/>
  <c r="N6" i="45" s="1"/>
  <c r="G5" i="45"/>
  <c r="E11" i="45"/>
  <c r="I11" i="45"/>
  <c r="D13" i="45"/>
  <c r="C35" i="45"/>
  <c r="D35" i="45" s="1"/>
  <c r="E35" i="45" s="1"/>
  <c r="G76" i="45"/>
  <c r="G7" i="45" s="1"/>
  <c r="B49" i="45"/>
  <c r="B51" i="45" s="1"/>
  <c r="F49" i="45"/>
  <c r="F51" i="45" s="1"/>
  <c r="J49" i="45"/>
  <c r="J51" i="45" s="1"/>
  <c r="B50" i="45"/>
  <c r="C49" i="45"/>
  <c r="C51" i="45" s="1"/>
  <c r="G49" i="45"/>
  <c r="G51" i="45" s="1"/>
  <c r="K49" i="45"/>
  <c r="K51" i="45" s="1"/>
  <c r="D49" i="45"/>
  <c r="D51" i="45" s="1"/>
  <c r="H49" i="45"/>
  <c r="H51" i="45" s="1"/>
  <c r="L49" i="45"/>
  <c r="L51" i="45" s="1"/>
  <c r="J76" i="45"/>
  <c r="J77" i="45" s="1"/>
  <c r="N10" i="46" l="1"/>
  <c r="M5" i="46"/>
  <c r="M59" i="46" s="1"/>
  <c r="D80" i="46"/>
  <c r="D81" i="46"/>
  <c r="M7" i="46"/>
  <c r="M77" i="46"/>
  <c r="B81" i="46"/>
  <c r="F81" i="46"/>
  <c r="H30" i="46"/>
  <c r="H29" i="46"/>
  <c r="E81" i="46"/>
  <c r="D35" i="46"/>
  <c r="E35" i="46" s="1"/>
  <c r="C33" i="46"/>
  <c r="G59" i="46"/>
  <c r="G11" i="46"/>
  <c r="G77" i="46"/>
  <c r="G7" i="46"/>
  <c r="N7" i="46" s="1"/>
  <c r="I30" i="46"/>
  <c r="B16" i="46"/>
  <c r="C14" i="46"/>
  <c r="D14" i="46" s="1"/>
  <c r="E32" i="46"/>
  <c r="D13" i="46"/>
  <c r="E13" i="46" s="1"/>
  <c r="F36" i="46"/>
  <c r="G36" i="46" s="1"/>
  <c r="M11" i="46"/>
  <c r="J30" i="46"/>
  <c r="B37" i="46"/>
  <c r="C37" i="46" s="1"/>
  <c r="D32" i="46"/>
  <c r="L11" i="46"/>
  <c r="L76" i="46"/>
  <c r="L77" i="46" s="1"/>
  <c r="N9" i="46"/>
  <c r="D36" i="44"/>
  <c r="E36" i="45"/>
  <c r="F36" i="45"/>
  <c r="E37" i="45"/>
  <c r="F37" i="45" s="1"/>
  <c r="C81" i="45"/>
  <c r="J30" i="45"/>
  <c r="E81" i="45"/>
  <c r="F81" i="45"/>
  <c r="D81" i="45"/>
  <c r="B80" i="45"/>
  <c r="B81" i="45"/>
  <c r="F35" i="45"/>
  <c r="G35" i="45" s="1"/>
  <c r="G59" i="45"/>
  <c r="G11" i="45"/>
  <c r="C14" i="45"/>
  <c r="G77" i="45"/>
  <c r="E13" i="45"/>
  <c r="M59" i="45"/>
  <c r="M75" i="45"/>
  <c r="M9" i="45"/>
  <c r="N3" i="45"/>
  <c r="I30" i="45"/>
  <c r="H30" i="45"/>
  <c r="L77" i="45"/>
  <c r="L29" i="45" s="1"/>
  <c r="B39" i="45"/>
  <c r="C32" i="45"/>
  <c r="B80" i="46" l="1"/>
  <c r="C16" i="46"/>
  <c r="N5" i="46"/>
  <c r="M29" i="46"/>
  <c r="N11" i="46"/>
  <c r="C39" i="46"/>
  <c r="C41" i="46" s="1"/>
  <c r="C80" i="46"/>
  <c r="D37" i="46"/>
  <c r="L30" i="46"/>
  <c r="E33" i="46"/>
  <c r="G32" i="46"/>
  <c r="G33" i="46" s="1"/>
  <c r="G81" i="46"/>
  <c r="G30" i="46" s="1"/>
  <c r="E14" i="46"/>
  <c r="F14" i="46" s="1"/>
  <c r="F32" i="46"/>
  <c r="F13" i="46"/>
  <c r="D16" i="46"/>
  <c r="B39" i="46"/>
  <c r="M30" i="46"/>
  <c r="D33" i="46"/>
  <c r="F35" i="46"/>
  <c r="H36" i="46"/>
  <c r="E36" i="44"/>
  <c r="G37" i="45"/>
  <c r="H37" i="45" s="1"/>
  <c r="G36" i="45"/>
  <c r="H36" i="45" s="1"/>
  <c r="H35" i="45"/>
  <c r="I35" i="45" s="1"/>
  <c r="J35" i="45" s="1"/>
  <c r="K35" i="45" s="1"/>
  <c r="G81" i="45"/>
  <c r="F13" i="45"/>
  <c r="G13" i="45" s="1"/>
  <c r="H13" i="45" s="1"/>
  <c r="B42" i="45"/>
  <c r="L30" i="45"/>
  <c r="M76" i="45"/>
  <c r="M7" i="45" s="1"/>
  <c r="N7" i="45" s="1"/>
  <c r="D14" i="45"/>
  <c r="E14" i="45" s="1"/>
  <c r="C16" i="45"/>
  <c r="C80" i="45" s="1"/>
  <c r="C33" i="45"/>
  <c r="C39" i="45" s="1"/>
  <c r="C42" i="45" s="1"/>
  <c r="M10" i="45"/>
  <c r="N10" i="45" s="1"/>
  <c r="N9" i="45"/>
  <c r="G30" i="45"/>
  <c r="D32" i="45"/>
  <c r="H32" i="46" l="1"/>
  <c r="H33" i="46" s="1"/>
  <c r="I36" i="46"/>
  <c r="J36" i="46" s="1"/>
  <c r="N30" i="46"/>
  <c r="G14" i="46"/>
  <c r="H14" i="46" s="1"/>
  <c r="E16" i="46"/>
  <c r="F37" i="46"/>
  <c r="F16" i="46"/>
  <c r="G37" i="46"/>
  <c r="H37" i="46" s="1"/>
  <c r="D39" i="46"/>
  <c r="G13" i="46"/>
  <c r="D42" i="46"/>
  <c r="B42" i="46"/>
  <c r="C42" i="46"/>
  <c r="I32" i="46"/>
  <c r="I33" i="46" s="1"/>
  <c r="F33" i="46"/>
  <c r="F39" i="46" s="1"/>
  <c r="E37" i="46"/>
  <c r="E80" i="46" s="1"/>
  <c r="D41" i="46"/>
  <c r="G35" i="46"/>
  <c r="H35" i="46" s="1"/>
  <c r="F36" i="44"/>
  <c r="G36" i="44" s="1"/>
  <c r="I36" i="45"/>
  <c r="I37" i="45"/>
  <c r="J37" i="45" s="1"/>
  <c r="C53" i="45"/>
  <c r="D33" i="45"/>
  <c r="D39" i="45" s="1"/>
  <c r="E16" i="45"/>
  <c r="E32" i="45"/>
  <c r="D16" i="45"/>
  <c r="L35" i="45"/>
  <c r="M35" i="45" s="1"/>
  <c r="N35" i="45" s="1"/>
  <c r="M77" i="45"/>
  <c r="M29" i="45" s="1"/>
  <c r="B53" i="45"/>
  <c r="I13" i="45"/>
  <c r="F32" i="45"/>
  <c r="F14" i="45"/>
  <c r="F16" i="45" s="1"/>
  <c r="M11" i="45"/>
  <c r="G32" i="45"/>
  <c r="G33" i="45" s="1"/>
  <c r="C41" i="45"/>
  <c r="H36" i="44" l="1"/>
  <c r="G16" i="46"/>
  <c r="I37" i="46"/>
  <c r="F80" i="45"/>
  <c r="I36" i="44"/>
  <c r="K36" i="46"/>
  <c r="I14" i="46"/>
  <c r="J14" i="46" s="1"/>
  <c r="J37" i="46"/>
  <c r="K37" i="46" s="1"/>
  <c r="L37" i="46" s="1"/>
  <c r="I35" i="46"/>
  <c r="J35" i="46" s="1"/>
  <c r="K35" i="46" s="1"/>
  <c r="H39" i="46"/>
  <c r="C53" i="46"/>
  <c r="J32" i="46"/>
  <c r="B53" i="46"/>
  <c r="K32" i="46"/>
  <c r="D53" i="46"/>
  <c r="H13" i="46"/>
  <c r="I13" i="46" s="1"/>
  <c r="E39" i="46"/>
  <c r="E42" i="46" s="1"/>
  <c r="F80" i="46"/>
  <c r="G80" i="46" s="1"/>
  <c r="G29" i="46" s="1"/>
  <c r="F41" i="46"/>
  <c r="L32" i="46"/>
  <c r="J36" i="44"/>
  <c r="K36" i="44" s="1"/>
  <c r="L36" i="44" s="1"/>
  <c r="M36" i="44" s="1"/>
  <c r="J36" i="45"/>
  <c r="K36" i="45" s="1"/>
  <c r="L36" i="45" s="1"/>
  <c r="M36" i="45" s="1"/>
  <c r="K37" i="45"/>
  <c r="L37" i="45" s="1"/>
  <c r="M37" i="45" s="1"/>
  <c r="D42" i="45"/>
  <c r="F33" i="45"/>
  <c r="F39" i="45"/>
  <c r="F41" i="45" s="1"/>
  <c r="M30" i="45"/>
  <c r="N30" i="45" s="1"/>
  <c r="H32" i="45"/>
  <c r="G14" i="45"/>
  <c r="N11" i="45"/>
  <c r="E33" i="45"/>
  <c r="E39" i="45"/>
  <c r="E42" i="45" s="1"/>
  <c r="D41" i="45"/>
  <c r="D80" i="45"/>
  <c r="J13" i="45"/>
  <c r="L36" i="46" l="1"/>
  <c r="M36" i="46"/>
  <c r="N36" i="46" s="1"/>
  <c r="K14" i="46"/>
  <c r="L14" i="46" s="1"/>
  <c r="I16" i="46"/>
  <c r="J13" i="46"/>
  <c r="G39" i="46"/>
  <c r="G41" i="46" s="1"/>
  <c r="M37" i="46"/>
  <c r="N37" i="46" s="1"/>
  <c r="F42" i="46"/>
  <c r="E41" i="46"/>
  <c r="G42" i="46"/>
  <c r="L35" i="46"/>
  <c r="L33" i="46"/>
  <c r="H16" i="46"/>
  <c r="H41" i="46" s="1"/>
  <c r="K33" i="46"/>
  <c r="J33" i="46"/>
  <c r="M32" i="46"/>
  <c r="E53" i="46"/>
  <c r="M35" i="46"/>
  <c r="N35" i="46" s="1"/>
  <c r="N36" i="45"/>
  <c r="N37" i="45"/>
  <c r="H14" i="45"/>
  <c r="I14" i="45" s="1"/>
  <c r="E80" i="45"/>
  <c r="G80" i="45" s="1"/>
  <c r="G29" i="45" s="1"/>
  <c r="F42" i="45"/>
  <c r="E53" i="45"/>
  <c r="K13" i="45"/>
  <c r="G16" i="45"/>
  <c r="H33" i="45"/>
  <c r="I32" i="45"/>
  <c r="D53" i="45"/>
  <c r="E41" i="45"/>
  <c r="H42" i="46" l="1"/>
  <c r="M14" i="46"/>
  <c r="N14" i="46" s="1"/>
  <c r="G83" i="46"/>
  <c r="F53" i="46"/>
  <c r="G84" i="46" s="1"/>
  <c r="M33" i="46"/>
  <c r="N33" i="46" s="1"/>
  <c r="N32" i="46"/>
  <c r="I29" i="46"/>
  <c r="G53" i="46"/>
  <c r="J16" i="46"/>
  <c r="K13" i="46"/>
  <c r="G39" i="45"/>
  <c r="G42" i="45" s="1"/>
  <c r="I16" i="45"/>
  <c r="G83" i="45"/>
  <c r="F53" i="45"/>
  <c r="G84" i="45" s="1"/>
  <c r="J14" i="45"/>
  <c r="K14" i="45" s="1"/>
  <c r="K16" i="45" s="1"/>
  <c r="H16" i="45"/>
  <c r="I33" i="45"/>
  <c r="K32" i="45"/>
  <c r="J32" i="45"/>
  <c r="J33" i="45" s="1"/>
  <c r="L13" i="45"/>
  <c r="M39" i="46" l="1"/>
  <c r="L32" i="45"/>
  <c r="L33" i="45" s="1"/>
  <c r="L39" i="45" s="1"/>
  <c r="I29" i="45"/>
  <c r="H53" i="46"/>
  <c r="K16" i="46"/>
  <c r="J29" i="46"/>
  <c r="J39" i="46" s="1"/>
  <c r="I39" i="46"/>
  <c r="L13" i="46"/>
  <c r="I39" i="45"/>
  <c r="I41" i="45" s="1"/>
  <c r="H39" i="45"/>
  <c r="H41" i="45" s="1"/>
  <c r="M13" i="45"/>
  <c r="G41" i="45"/>
  <c r="J16" i="45"/>
  <c r="J29" i="45" s="1"/>
  <c r="L14" i="45"/>
  <c r="M14" i="45" s="1"/>
  <c r="N14" i="45" s="1"/>
  <c r="K33" i="45"/>
  <c r="K39" i="45" s="1"/>
  <c r="K41" i="45" s="1"/>
  <c r="G53" i="45"/>
  <c r="K29" i="46" l="1"/>
  <c r="K39" i="46" s="1"/>
  <c r="K41" i="46" s="1"/>
  <c r="M32" i="45"/>
  <c r="M33" i="45" s="1"/>
  <c r="N33" i="45" s="1"/>
  <c r="J42" i="46"/>
  <c r="J53" i="46" s="1"/>
  <c r="J41" i="46"/>
  <c r="L16" i="46"/>
  <c r="I42" i="46"/>
  <c r="I41" i="46"/>
  <c r="K42" i="46"/>
  <c r="M13" i="46"/>
  <c r="I42" i="45"/>
  <c r="I53" i="45" s="1"/>
  <c r="H42" i="45"/>
  <c r="M16" i="45"/>
  <c r="N13" i="45"/>
  <c r="L16" i="45"/>
  <c r="L41" i="45" s="1"/>
  <c r="N32" i="45" l="1"/>
  <c r="L29" i="46"/>
  <c r="L39" i="46" s="1"/>
  <c r="L42" i="46" s="1"/>
  <c r="N39" i="46"/>
  <c r="K53" i="46"/>
  <c r="M16" i="46"/>
  <c r="N13" i="46"/>
  <c r="I53" i="46"/>
  <c r="L53" i="46"/>
  <c r="H53" i="45"/>
  <c r="J39" i="45"/>
  <c r="N29" i="45"/>
  <c r="M39" i="45"/>
  <c r="N16" i="45"/>
  <c r="L41" i="46" l="1"/>
  <c r="M42" i="46"/>
  <c r="M53" i="46" s="1"/>
  <c r="N29" i="46"/>
  <c r="M41" i="46"/>
  <c r="N16" i="46"/>
  <c r="N39" i="45"/>
  <c r="J42" i="45"/>
  <c r="K42" i="45"/>
  <c r="M42" i="45"/>
  <c r="J41" i="45"/>
  <c r="L42" i="45"/>
  <c r="M41" i="45"/>
  <c r="K53" i="45" l="1"/>
  <c r="M53" i="45"/>
  <c r="L53" i="45"/>
  <c r="J53" i="45"/>
  <c r="B64" i="44" l="1"/>
  <c r="B66" i="44" s="1"/>
  <c r="B75" i="44"/>
  <c r="C76" i="44" s="1"/>
  <c r="C71" i="44"/>
  <c r="C69" i="44"/>
  <c r="M67" i="44"/>
  <c r="L67" i="44"/>
  <c r="K67" i="44"/>
  <c r="J67" i="44"/>
  <c r="I67" i="44"/>
  <c r="H67" i="44"/>
  <c r="G67" i="44"/>
  <c r="F67" i="44"/>
  <c r="E67" i="44"/>
  <c r="D67" i="44"/>
  <c r="C67" i="44"/>
  <c r="B67" i="44"/>
  <c r="A67" i="44"/>
  <c r="M66" i="44"/>
  <c r="L66" i="44"/>
  <c r="K66" i="44"/>
  <c r="J66" i="44"/>
  <c r="I66" i="44"/>
  <c r="H66" i="44"/>
  <c r="G66" i="44"/>
  <c r="F66" i="44"/>
  <c r="E66" i="44"/>
  <c r="D66" i="44"/>
  <c r="C66" i="44"/>
  <c r="A66" i="44"/>
  <c r="B57" i="44"/>
  <c r="M48" i="44"/>
  <c r="M50" i="44" s="1"/>
  <c r="L48" i="44"/>
  <c r="L49" i="44" s="1"/>
  <c r="L51" i="44" s="1"/>
  <c r="K48" i="44"/>
  <c r="K50" i="44" s="1"/>
  <c r="J48" i="44"/>
  <c r="J49" i="44" s="1"/>
  <c r="J51" i="44" s="1"/>
  <c r="I48" i="44"/>
  <c r="I50" i="44" s="1"/>
  <c r="H48" i="44"/>
  <c r="H50" i="44" s="1"/>
  <c r="G48" i="44"/>
  <c r="G50" i="44" s="1"/>
  <c r="F48" i="44"/>
  <c r="F50" i="44" s="1"/>
  <c r="E48" i="44"/>
  <c r="E50" i="44" s="1"/>
  <c r="D48" i="44"/>
  <c r="D49" i="44" s="1"/>
  <c r="D51" i="44" s="1"/>
  <c r="C48" i="44"/>
  <c r="C50" i="44" s="1"/>
  <c r="B48" i="44"/>
  <c r="B50" i="44" s="1"/>
  <c r="O35" i="44"/>
  <c r="B35" i="44"/>
  <c r="O33" i="44"/>
  <c r="B33" i="44" s="1"/>
  <c r="P32" i="44"/>
  <c r="B13" i="44"/>
  <c r="K9" i="44"/>
  <c r="K10" i="44" s="1"/>
  <c r="J9" i="44"/>
  <c r="J10" i="44" s="1"/>
  <c r="I9" i="44"/>
  <c r="I10" i="44" s="1"/>
  <c r="H9" i="44"/>
  <c r="H10" i="44" s="1"/>
  <c r="G9" i="44"/>
  <c r="G10" i="44" s="1"/>
  <c r="F9" i="44"/>
  <c r="F10" i="44" s="1"/>
  <c r="E9" i="44"/>
  <c r="E10" i="44" s="1"/>
  <c r="D9" i="44"/>
  <c r="D10" i="44" s="1"/>
  <c r="C9" i="44"/>
  <c r="C10" i="44" s="1"/>
  <c r="B9" i="44"/>
  <c r="K5" i="44"/>
  <c r="J5" i="44"/>
  <c r="I5" i="44"/>
  <c r="I11" i="44" s="1"/>
  <c r="H5" i="44"/>
  <c r="F5" i="44"/>
  <c r="E5" i="44"/>
  <c r="E11" i="44" s="1"/>
  <c r="D5" i="44"/>
  <c r="C5" i="44"/>
  <c r="C11" i="44" s="1"/>
  <c r="B5" i="44"/>
  <c r="L3" i="44"/>
  <c r="C13" i="44" l="1"/>
  <c r="D71" i="44"/>
  <c r="E71" i="44" s="1"/>
  <c r="F71" i="44" s="1"/>
  <c r="G71" i="44" s="1"/>
  <c r="H71" i="44" s="1"/>
  <c r="I71" i="44" s="1"/>
  <c r="J71" i="44" s="1"/>
  <c r="K71" i="44" s="1"/>
  <c r="L71" i="44" s="1"/>
  <c r="M71" i="44" s="1"/>
  <c r="C37" i="44"/>
  <c r="B10" i="44"/>
  <c r="D59" i="44"/>
  <c r="D11" i="44"/>
  <c r="G5" i="44"/>
  <c r="G11" i="44" s="1"/>
  <c r="B11" i="44"/>
  <c r="F59" i="44"/>
  <c r="F11" i="44"/>
  <c r="K11" i="44"/>
  <c r="B14" i="44"/>
  <c r="D69" i="44"/>
  <c r="E69" i="44" s="1"/>
  <c r="F69" i="44" s="1"/>
  <c r="G69" i="44" s="1"/>
  <c r="H69" i="44" s="1"/>
  <c r="I69" i="44" s="1"/>
  <c r="J69" i="44" s="1"/>
  <c r="K69" i="44" s="1"/>
  <c r="L69" i="44" s="1"/>
  <c r="M69" i="44" s="1"/>
  <c r="H11" i="44"/>
  <c r="J59" i="44"/>
  <c r="J11" i="44"/>
  <c r="L9" i="44"/>
  <c r="L10" i="44" s="1"/>
  <c r="L75" i="44"/>
  <c r="J50" i="44"/>
  <c r="H59" i="44"/>
  <c r="F49" i="44"/>
  <c r="F51" i="44" s="1"/>
  <c r="I76" i="44"/>
  <c r="I77" i="44" s="1"/>
  <c r="I29" i="44" s="1"/>
  <c r="E59" i="44"/>
  <c r="B59" i="44"/>
  <c r="O32" i="44"/>
  <c r="I59" i="44"/>
  <c r="L5" i="44"/>
  <c r="C59" i="44"/>
  <c r="K59" i="44"/>
  <c r="M3" i="44"/>
  <c r="M75" i="44" s="1"/>
  <c r="D13" i="44"/>
  <c r="E13" i="44" s="1"/>
  <c r="H49" i="44"/>
  <c r="H51" i="44" s="1"/>
  <c r="D50" i="44"/>
  <c r="L50" i="44"/>
  <c r="E76" i="44"/>
  <c r="E77" i="44" s="1"/>
  <c r="B49" i="44"/>
  <c r="B51" i="44" s="1"/>
  <c r="G76" i="44"/>
  <c r="C77" i="44"/>
  <c r="C80" i="44" s="1"/>
  <c r="C35" i="44"/>
  <c r="E49" i="44"/>
  <c r="E51" i="44" s="1"/>
  <c r="I49" i="44"/>
  <c r="I51" i="44" s="1"/>
  <c r="M49" i="44"/>
  <c r="M51" i="44" s="1"/>
  <c r="D76" i="44"/>
  <c r="D77" i="44" s="1"/>
  <c r="H76" i="44"/>
  <c r="H77" i="44" s="1"/>
  <c r="H29" i="44" s="1"/>
  <c r="C49" i="44"/>
  <c r="C51" i="44" s="1"/>
  <c r="G49" i="44"/>
  <c r="G51" i="44" s="1"/>
  <c r="K49" i="44"/>
  <c r="K51" i="44" s="1"/>
  <c r="B76" i="44"/>
  <c r="B77" i="44" s="1"/>
  <c r="B80" i="44" s="1"/>
  <c r="F76" i="44"/>
  <c r="F77" i="44" s="1"/>
  <c r="F80" i="44" s="1"/>
  <c r="J76" i="44"/>
  <c r="J77" i="44" s="1"/>
  <c r="D37" i="44" l="1"/>
  <c r="E37" i="44"/>
  <c r="C14" i="44"/>
  <c r="B16" i="44"/>
  <c r="M6" i="44"/>
  <c r="N6" i="44" s="1"/>
  <c r="N3" i="44"/>
  <c r="N9" i="44"/>
  <c r="G77" i="44"/>
  <c r="G7" i="44"/>
  <c r="N10" i="44"/>
  <c r="M5" i="44"/>
  <c r="L11" i="44"/>
  <c r="L59" i="44"/>
  <c r="I30" i="44"/>
  <c r="F81" i="44"/>
  <c r="E81" i="44"/>
  <c r="H30" i="44"/>
  <c r="J30" i="44"/>
  <c r="C81" i="44"/>
  <c r="B81" i="44"/>
  <c r="M9" i="44"/>
  <c r="M10" i="44" s="1"/>
  <c r="K76" i="44"/>
  <c r="K77" i="44" s="1"/>
  <c r="K29" i="44" s="1"/>
  <c r="D81" i="44"/>
  <c r="C16" i="44"/>
  <c r="D14" i="44"/>
  <c r="E14" i="44" s="1"/>
  <c r="E16" i="44" s="1"/>
  <c r="L76" i="44"/>
  <c r="L77" i="44" s="1"/>
  <c r="L29" i="44" s="1"/>
  <c r="F13" i="44"/>
  <c r="G13" i="44" s="1"/>
  <c r="G59" i="44"/>
  <c r="B32" i="44"/>
  <c r="D35" i="44"/>
  <c r="E35" i="44" s="1"/>
  <c r="M11" i="44" l="1"/>
  <c r="N11" i="44" s="1"/>
  <c r="F37" i="44"/>
  <c r="G37" i="44" s="1"/>
  <c r="C32" i="44"/>
  <c r="D32" i="44" s="1"/>
  <c r="M59" i="44"/>
  <c r="N5" i="44"/>
  <c r="F14" i="44"/>
  <c r="F16" i="44" s="1"/>
  <c r="D16" i="44"/>
  <c r="G81" i="44"/>
  <c r="G30" i="44" s="1"/>
  <c r="L30" i="44"/>
  <c r="K30" i="44"/>
  <c r="H13" i="44"/>
  <c r="F35" i="44"/>
  <c r="B39" i="44"/>
  <c r="C33" i="44"/>
  <c r="I37" i="44" l="1"/>
  <c r="J37" i="44" s="1"/>
  <c r="K37" i="44" s="1"/>
  <c r="H37" i="44"/>
  <c r="L37" i="44" s="1"/>
  <c r="M37" i="44" s="1"/>
  <c r="C39" i="44"/>
  <c r="C41" i="44" s="1"/>
  <c r="G35" i="44"/>
  <c r="G14" i="44"/>
  <c r="H14" i="44" s="1"/>
  <c r="I14" i="44" s="1"/>
  <c r="D33" i="44"/>
  <c r="D80" i="44" s="1"/>
  <c r="E32" i="44"/>
  <c r="I13" i="44"/>
  <c r="J13" i="44" s="1"/>
  <c r="C42" i="44"/>
  <c r="B42" i="44"/>
  <c r="M76" i="44"/>
  <c r="F32" i="44"/>
  <c r="M77" i="44" l="1"/>
  <c r="M7" i="44"/>
  <c r="N7" i="44" s="1"/>
  <c r="N36" i="44"/>
  <c r="D39" i="44"/>
  <c r="H35" i="44"/>
  <c r="I35" i="44" s="1"/>
  <c r="F39" i="44"/>
  <c r="F41" i="44" s="1"/>
  <c r="G16" i="44"/>
  <c r="C53" i="44"/>
  <c r="H16" i="44"/>
  <c r="F33" i="44"/>
  <c r="K13" i="44"/>
  <c r="L13" i="44" s="1"/>
  <c r="M13" i="44" s="1"/>
  <c r="N13" i="44" s="1"/>
  <c r="B53" i="44"/>
  <c r="M30" i="44"/>
  <c r="N30" i="44" s="1"/>
  <c r="I16" i="44"/>
  <c r="J14" i="44"/>
  <c r="K14" i="44" s="1"/>
  <c r="E33" i="44"/>
  <c r="E39" i="44" s="1"/>
  <c r="E41" i="44" s="1"/>
  <c r="G32" i="44"/>
  <c r="M29" i="44" l="1"/>
  <c r="J35" i="44"/>
  <c r="K35" i="44" s="1"/>
  <c r="L35" i="44" s="1"/>
  <c r="M35" i="44" s="1"/>
  <c r="N35" i="44" s="1"/>
  <c r="E80" i="44"/>
  <c r="G80" i="44" s="1"/>
  <c r="G29" i="44" s="1"/>
  <c r="J16" i="44"/>
  <c r="L14" i="44"/>
  <c r="M14" i="44" s="1"/>
  <c r="N14" i="44" s="1"/>
  <c r="D41" i="44"/>
  <c r="E42" i="44"/>
  <c r="F42" i="44"/>
  <c r="D42" i="44"/>
  <c r="G33" i="44"/>
  <c r="H32" i="44"/>
  <c r="I32" i="44" s="1"/>
  <c r="N37" i="44"/>
  <c r="K16" i="44"/>
  <c r="G29" i="42"/>
  <c r="G28" i="42"/>
  <c r="G26" i="42"/>
  <c r="G25" i="42" s="1"/>
  <c r="H25" i="42"/>
  <c r="G39" i="44" l="1"/>
  <c r="H33" i="44"/>
  <c r="H39" i="44" s="1"/>
  <c r="H41" i="44" s="1"/>
  <c r="L16" i="44"/>
  <c r="M16" i="44"/>
  <c r="I33" i="44"/>
  <c r="I39" i="44" s="1"/>
  <c r="J32" i="44"/>
  <c r="G83" i="44"/>
  <c r="F53" i="44"/>
  <c r="G84" i="44" s="1"/>
  <c r="E53" i="44"/>
  <c r="D53" i="44"/>
  <c r="N16" i="44" l="1"/>
  <c r="J33" i="44"/>
  <c r="J29" i="44" s="1"/>
  <c r="K32" i="44"/>
  <c r="G41" i="44"/>
  <c r="G42" i="44"/>
  <c r="H42" i="44"/>
  <c r="I41" i="44"/>
  <c r="I42" i="44"/>
  <c r="D2" i="42"/>
  <c r="D29" i="42"/>
  <c r="D28" i="42"/>
  <c r="D25" i="42"/>
  <c r="D15" i="42"/>
  <c r="J39" i="44" l="1"/>
  <c r="N29" i="44"/>
  <c r="I53" i="44"/>
  <c r="K33" i="44"/>
  <c r="K39" i="44" s="1"/>
  <c r="K41" i="44" s="1"/>
  <c r="L32" i="44"/>
  <c r="H53" i="44"/>
  <c r="G53" i="44"/>
  <c r="D6" i="42"/>
  <c r="D9" i="42" s="1"/>
  <c r="D41" i="42"/>
  <c r="D5" i="42"/>
  <c r="J42" i="44" l="1"/>
  <c r="J41" i="44"/>
  <c r="K42" i="44"/>
  <c r="L33" i="44"/>
  <c r="L39" i="44" s="1"/>
  <c r="M32" i="44"/>
  <c r="N32" i="44" s="1"/>
  <c r="D10" i="42"/>
  <c r="M39" i="44" l="1"/>
  <c r="N39" i="44" s="1"/>
  <c r="L42" i="44"/>
  <c r="L41" i="44"/>
  <c r="M33" i="44"/>
  <c r="N33" i="44" s="1"/>
  <c r="J53" i="44"/>
  <c r="K53" i="44"/>
  <c r="M42" i="44" l="1"/>
  <c r="M41" i="44"/>
  <c r="L53" i="44"/>
  <c r="M53" i="44" l="1"/>
  <c r="A10" i="12" l="1"/>
  <c r="A9" i="12"/>
  <c r="A8" i="12"/>
  <c r="A7" i="12"/>
  <c r="A6" i="12"/>
  <c r="A5" i="12"/>
  <c r="A4" i="12"/>
  <c r="A3" i="12"/>
  <c r="M43" i="46" l="1"/>
  <c r="M44" i="46"/>
  <c r="M54" i="46" s="1"/>
  <c r="M44" i="45"/>
  <c r="M44" i="44"/>
  <c r="E15" i="42"/>
  <c r="F15" i="42" l="1"/>
  <c r="C15" i="42"/>
  <c r="B15" i="42" l="1"/>
  <c r="D142" i="12" l="1"/>
  <c r="D141" i="12"/>
  <c r="D140" i="12"/>
  <c r="D139" i="12"/>
  <c r="D138" i="12"/>
  <c r="D137" i="12"/>
  <c r="D136" i="12"/>
  <c r="D135" i="12"/>
  <c r="D134" i="12"/>
  <c r="D133" i="12"/>
  <c r="B142" i="12"/>
  <c r="A142" i="12"/>
  <c r="E142" i="12" s="1"/>
  <c r="B141" i="12"/>
  <c r="A141" i="12"/>
  <c r="E141" i="12" s="1"/>
  <c r="B140" i="12"/>
  <c r="A140" i="12"/>
  <c r="E140" i="12" s="1"/>
  <c r="B139" i="12"/>
  <c r="A139" i="12"/>
  <c r="E139" i="12" s="1"/>
  <c r="B138" i="12"/>
  <c r="A138" i="12"/>
  <c r="E138" i="12" s="1"/>
  <c r="B137" i="12"/>
  <c r="A137" i="12"/>
  <c r="B136" i="12"/>
  <c r="A136" i="12"/>
  <c r="E136" i="12" s="1"/>
  <c r="B135" i="12"/>
  <c r="A135" i="12"/>
  <c r="E135" i="12" s="1"/>
  <c r="C134" i="12"/>
  <c r="B134" i="12"/>
  <c r="A134" i="12"/>
  <c r="D130" i="12"/>
  <c r="D129" i="12"/>
  <c r="D128" i="12"/>
  <c r="D127" i="12"/>
  <c r="D126" i="12"/>
  <c r="D125" i="12"/>
  <c r="D124" i="12"/>
  <c r="D123" i="12"/>
  <c r="D122" i="12"/>
  <c r="D121" i="12"/>
  <c r="B130" i="12"/>
  <c r="A130" i="12"/>
  <c r="E130" i="12" s="1"/>
  <c r="A129" i="12"/>
  <c r="E129" i="12" s="1"/>
  <c r="A128" i="12"/>
  <c r="E128" i="12" s="1"/>
  <c r="A127" i="12"/>
  <c r="E127" i="12" s="1"/>
  <c r="B126" i="12"/>
  <c r="A126" i="12"/>
  <c r="E126" i="12" s="1"/>
  <c r="A125" i="12"/>
  <c r="A124" i="12"/>
  <c r="E124" i="12" s="1"/>
  <c r="A123" i="12"/>
  <c r="E123" i="12" s="1"/>
  <c r="C122" i="12"/>
  <c r="A122" i="12"/>
  <c r="D118" i="12"/>
  <c r="D117" i="12"/>
  <c r="D116" i="12"/>
  <c r="D115" i="12"/>
  <c r="D114" i="12"/>
  <c r="D113" i="12"/>
  <c r="D112" i="12"/>
  <c r="D111" i="12"/>
  <c r="D110" i="12"/>
  <c r="D109" i="12"/>
  <c r="A118" i="12"/>
  <c r="E118" i="12" s="1"/>
  <c r="A117" i="12"/>
  <c r="E117" i="12" s="1"/>
  <c r="A116" i="12"/>
  <c r="E116" i="12" s="1"/>
  <c r="A115" i="12"/>
  <c r="E115" i="12" s="1"/>
  <c r="A114" i="12"/>
  <c r="E114" i="12" s="1"/>
  <c r="A113" i="12"/>
  <c r="A112" i="12"/>
  <c r="E112" i="12" s="1"/>
  <c r="A111" i="12"/>
  <c r="E111" i="12" s="1"/>
  <c r="C110" i="12"/>
  <c r="A110" i="12"/>
  <c r="D106" i="12"/>
  <c r="D105" i="12"/>
  <c r="D104" i="12"/>
  <c r="D103" i="12"/>
  <c r="D102" i="12"/>
  <c r="D101" i="12"/>
  <c r="D100" i="12"/>
  <c r="D99" i="12"/>
  <c r="D98" i="12"/>
  <c r="D97" i="12"/>
  <c r="A106" i="12"/>
  <c r="E106" i="12" s="1"/>
  <c r="A105" i="12"/>
  <c r="E105" i="12" s="1"/>
  <c r="A104" i="12"/>
  <c r="E104" i="12" s="1"/>
  <c r="A103" i="12"/>
  <c r="E103" i="12" s="1"/>
  <c r="A102" i="12"/>
  <c r="E102" i="12" s="1"/>
  <c r="A101" i="12"/>
  <c r="A100" i="12"/>
  <c r="E100" i="12" s="1"/>
  <c r="A99" i="12"/>
  <c r="E99" i="12" s="1"/>
  <c r="C98" i="12"/>
  <c r="A98" i="12"/>
  <c r="D94" i="12"/>
  <c r="D93" i="12"/>
  <c r="D92" i="12"/>
  <c r="D91" i="12"/>
  <c r="D90" i="12"/>
  <c r="D89" i="12"/>
  <c r="D88" i="12"/>
  <c r="D87" i="12"/>
  <c r="D86" i="12"/>
  <c r="D85" i="12"/>
  <c r="A94" i="12"/>
  <c r="E94" i="12" s="1"/>
  <c r="A93" i="12"/>
  <c r="E93" i="12" s="1"/>
  <c r="A92" i="12"/>
  <c r="E92" i="12" s="1"/>
  <c r="A91" i="12"/>
  <c r="E91" i="12" s="1"/>
  <c r="A90" i="12"/>
  <c r="E90" i="12" s="1"/>
  <c r="A89" i="12"/>
  <c r="A88" i="12"/>
  <c r="E88" i="12" s="1"/>
  <c r="A87" i="12"/>
  <c r="E87" i="12" s="1"/>
  <c r="C86" i="12"/>
  <c r="A86" i="12"/>
  <c r="D82" i="12"/>
  <c r="D81" i="12"/>
  <c r="D80" i="12"/>
  <c r="D79" i="12"/>
  <c r="D78" i="12"/>
  <c r="D77" i="12"/>
  <c r="D76" i="12"/>
  <c r="D75" i="12"/>
  <c r="D74" i="12"/>
  <c r="D73" i="12"/>
  <c r="A82" i="12"/>
  <c r="E82" i="12" s="1"/>
  <c r="A81" i="12"/>
  <c r="E81" i="12" s="1"/>
  <c r="A80" i="12"/>
  <c r="E80" i="12" s="1"/>
  <c r="A79" i="12"/>
  <c r="E79" i="12" s="1"/>
  <c r="A78" i="12"/>
  <c r="E78" i="12" s="1"/>
  <c r="A77" i="12"/>
  <c r="A76" i="12"/>
  <c r="E76" i="12" s="1"/>
  <c r="A75" i="12"/>
  <c r="E75" i="12" s="1"/>
  <c r="C74" i="12"/>
  <c r="A74" i="12"/>
  <c r="A62" i="12"/>
  <c r="C62" i="12"/>
  <c r="D62" i="12"/>
  <c r="A63" i="12"/>
  <c r="E63" i="12" s="1"/>
  <c r="D63" i="12"/>
  <c r="A64" i="12"/>
  <c r="E64" i="12" s="1"/>
  <c r="D64" i="12"/>
  <c r="A65" i="12"/>
  <c r="D65" i="12"/>
  <c r="A66" i="12"/>
  <c r="E66" i="12" s="1"/>
  <c r="D66" i="12"/>
  <c r="A67" i="12"/>
  <c r="E67" i="12" s="1"/>
  <c r="D67" i="12"/>
  <c r="A68" i="12"/>
  <c r="E68" i="12" s="1"/>
  <c r="D68" i="12"/>
  <c r="A69" i="12"/>
  <c r="E69" i="12" s="1"/>
  <c r="D69" i="12"/>
  <c r="A70" i="12"/>
  <c r="E70" i="12" s="1"/>
  <c r="D70" i="12"/>
  <c r="D61" i="12"/>
  <c r="D58" i="12"/>
  <c r="D57" i="12"/>
  <c r="D56" i="12"/>
  <c r="D55" i="12"/>
  <c r="D54" i="12"/>
  <c r="D53" i="12"/>
  <c r="D52" i="12"/>
  <c r="D51" i="12"/>
  <c r="D50" i="12"/>
  <c r="D49" i="12"/>
  <c r="A58" i="12"/>
  <c r="A57" i="12"/>
  <c r="A56" i="12"/>
  <c r="A55" i="12"/>
  <c r="A54" i="12"/>
  <c r="A53" i="12"/>
  <c r="A52" i="12"/>
  <c r="A51" i="12"/>
  <c r="C50" i="12"/>
  <c r="A50" i="12"/>
  <c r="E49" i="12"/>
  <c r="C49" i="12"/>
  <c r="B49" i="12"/>
  <c r="A49" i="12"/>
  <c r="D46" i="12"/>
  <c r="D45" i="12"/>
  <c r="D44" i="12"/>
  <c r="D43" i="12"/>
  <c r="D42" i="12"/>
  <c r="D41" i="12"/>
  <c r="D40" i="12"/>
  <c r="D39" i="12"/>
  <c r="D38" i="12"/>
  <c r="D37" i="12"/>
  <c r="A46" i="12"/>
  <c r="A45" i="12"/>
  <c r="A44" i="12"/>
  <c r="A43" i="12"/>
  <c r="A42" i="12"/>
  <c r="A41" i="12"/>
  <c r="A40" i="12"/>
  <c r="A39" i="12"/>
  <c r="C38" i="12"/>
  <c r="A38" i="12"/>
  <c r="D34" i="12"/>
  <c r="D33" i="12"/>
  <c r="D32" i="12"/>
  <c r="D31" i="12"/>
  <c r="D30" i="12"/>
  <c r="D29" i="12"/>
  <c r="D28" i="12"/>
  <c r="D27" i="12"/>
  <c r="D26" i="12"/>
  <c r="D25" i="12"/>
  <c r="D22" i="12"/>
  <c r="D21" i="12"/>
  <c r="D20" i="12"/>
  <c r="D19" i="12"/>
  <c r="D18" i="12"/>
  <c r="D17" i="12"/>
  <c r="D16" i="12"/>
  <c r="D15" i="12"/>
  <c r="D14" i="12"/>
  <c r="D13" i="12"/>
  <c r="A34" i="12"/>
  <c r="A33" i="12"/>
  <c r="A32" i="12"/>
  <c r="A31" i="12"/>
  <c r="A30" i="12"/>
  <c r="A29" i="12"/>
  <c r="A28" i="12"/>
  <c r="A27" i="12"/>
  <c r="C26" i="12"/>
  <c r="A26" i="12"/>
  <c r="A22" i="12"/>
  <c r="A21" i="12"/>
  <c r="A20" i="12"/>
  <c r="A19" i="12"/>
  <c r="A18" i="12"/>
  <c r="A17" i="12"/>
  <c r="A16" i="12"/>
  <c r="A15" i="12"/>
  <c r="C14" i="12"/>
  <c r="A14" i="12"/>
  <c r="B22" i="12"/>
  <c r="B21" i="12"/>
  <c r="B20" i="12"/>
  <c r="B43" i="12"/>
  <c r="B30" i="12"/>
  <c r="B17" i="12"/>
  <c r="B16" i="12"/>
  <c r="E10" i="12"/>
  <c r="E34" i="12" s="1"/>
  <c r="E9" i="12"/>
  <c r="E21" i="12" s="1"/>
  <c r="E8" i="12"/>
  <c r="E20" i="12" s="1"/>
  <c r="E7" i="12"/>
  <c r="E19" i="12" s="1"/>
  <c r="E6" i="12"/>
  <c r="E18" i="12" s="1"/>
  <c r="E5" i="12"/>
  <c r="E17" i="12" s="1"/>
  <c r="B44" i="45" l="1"/>
  <c r="B44" i="46"/>
  <c r="B44" i="44"/>
  <c r="D44" i="46"/>
  <c r="D44" i="45"/>
  <c r="D44" i="44"/>
  <c r="E44" i="45"/>
  <c r="E44" i="46"/>
  <c r="E44" i="44"/>
  <c r="F44" i="46"/>
  <c r="F44" i="45"/>
  <c r="H83" i="45"/>
  <c r="H83" i="46"/>
  <c r="F44" i="44"/>
  <c r="H83" i="44"/>
  <c r="G44" i="46"/>
  <c r="G44" i="45"/>
  <c r="G44" i="44"/>
  <c r="G54" i="44" s="1"/>
  <c r="G43" i="44"/>
  <c r="H43" i="45"/>
  <c r="H43" i="44"/>
  <c r="H44" i="46"/>
  <c r="I44" i="46"/>
  <c r="I43" i="45"/>
  <c r="I44" i="45"/>
  <c r="H44" i="45"/>
  <c r="I44" i="44"/>
  <c r="I43" i="44"/>
  <c r="H44" i="44"/>
  <c r="J43" i="45"/>
  <c r="J43" i="44"/>
  <c r="J44" i="46"/>
  <c r="K44" i="46"/>
  <c r="J44" i="45"/>
  <c r="J54" i="45" s="1"/>
  <c r="K44" i="45"/>
  <c r="J44" i="44"/>
  <c r="K44" i="44"/>
  <c r="L44" i="46"/>
  <c r="L44" i="45"/>
  <c r="L44" i="44"/>
  <c r="C44" i="45"/>
  <c r="C44" i="46"/>
  <c r="C44" i="44"/>
  <c r="E137" i="12"/>
  <c r="E125" i="12"/>
  <c r="E113" i="12"/>
  <c r="E101" i="12"/>
  <c r="E89" i="12"/>
  <c r="E77" i="12"/>
  <c r="E65" i="12"/>
  <c r="B124" i="12"/>
  <c r="B128" i="12"/>
  <c r="B125" i="12"/>
  <c r="B129" i="12"/>
  <c r="B127" i="12"/>
  <c r="B114" i="12"/>
  <c r="B118" i="12"/>
  <c r="B113" i="12"/>
  <c r="B117" i="12"/>
  <c r="B112" i="12"/>
  <c r="B116" i="12"/>
  <c r="B106" i="12"/>
  <c r="B102" i="12"/>
  <c r="B115" i="12"/>
  <c r="B101" i="12"/>
  <c r="B105" i="12"/>
  <c r="B78" i="12"/>
  <c r="B89" i="12"/>
  <c r="B100" i="12"/>
  <c r="B104" i="12"/>
  <c r="B93" i="12"/>
  <c r="B103" i="12"/>
  <c r="B88" i="12"/>
  <c r="B92" i="12"/>
  <c r="B82" i="12"/>
  <c r="B90" i="12"/>
  <c r="B94" i="12"/>
  <c r="B91" i="12"/>
  <c r="B81" i="12"/>
  <c r="B76" i="12"/>
  <c r="B80" i="12"/>
  <c r="B77" i="12"/>
  <c r="B79" i="12"/>
  <c r="B56" i="12"/>
  <c r="B52" i="12"/>
  <c r="E54" i="12"/>
  <c r="E53" i="12"/>
  <c r="E55" i="12"/>
  <c r="E57" i="12"/>
  <c r="B70" i="12"/>
  <c r="B69" i="12"/>
  <c r="B68" i="12"/>
  <c r="B67" i="12"/>
  <c r="B66" i="12"/>
  <c r="B65" i="12"/>
  <c r="B64" i="12"/>
  <c r="E58" i="12"/>
  <c r="E30" i="12"/>
  <c r="B53" i="12"/>
  <c r="B54" i="12"/>
  <c r="B55" i="12"/>
  <c r="E44" i="12"/>
  <c r="E56" i="12"/>
  <c r="B57" i="12"/>
  <c r="B58" i="12"/>
  <c r="B19" i="12"/>
  <c r="E22" i="12"/>
  <c r="E46" i="12"/>
  <c r="E42" i="12"/>
  <c r="B18" i="12"/>
  <c r="E32" i="12"/>
  <c r="E45" i="12"/>
  <c r="E41" i="12"/>
  <c r="E43" i="12"/>
  <c r="E29" i="12"/>
  <c r="B31" i="12"/>
  <c r="E33" i="12"/>
  <c r="B40" i="12"/>
  <c r="B41" i="12"/>
  <c r="B42" i="12"/>
  <c r="B44" i="12"/>
  <c r="B45" i="12"/>
  <c r="B46" i="12"/>
  <c r="B28" i="12"/>
  <c r="B29" i="12"/>
  <c r="B32" i="12"/>
  <c r="B33" i="12"/>
  <c r="B34" i="12"/>
  <c r="E31" i="12"/>
  <c r="J54" i="44" l="1"/>
  <c r="I54" i="44"/>
  <c r="H54" i="45"/>
  <c r="H54" i="44"/>
  <c r="I54" i="45"/>
  <c r="C133" i="12"/>
  <c r="B133" i="12"/>
  <c r="A133" i="12"/>
  <c r="C121" i="12"/>
  <c r="B121" i="12"/>
  <c r="A121" i="12"/>
  <c r="C109" i="12"/>
  <c r="B109" i="12"/>
  <c r="A109" i="12"/>
  <c r="C97" i="12"/>
  <c r="B97" i="12"/>
  <c r="A97" i="12"/>
  <c r="C85" i="12"/>
  <c r="B85" i="12"/>
  <c r="A85" i="12"/>
  <c r="C73" i="12"/>
  <c r="B73" i="12"/>
  <c r="A73" i="12"/>
  <c r="G43" i="45" s="1"/>
  <c r="G54" i="45" s="1"/>
  <c r="C61" i="12"/>
  <c r="B61" i="12"/>
  <c r="A61" i="12"/>
  <c r="E37" i="12"/>
  <c r="C37" i="12"/>
  <c r="B37" i="12"/>
  <c r="A37" i="12"/>
  <c r="E25" i="12"/>
  <c r="C25" i="12"/>
  <c r="B25" i="12"/>
  <c r="A25" i="12"/>
  <c r="E13" i="12"/>
  <c r="C13" i="12"/>
  <c r="B13" i="12"/>
  <c r="A13" i="12"/>
  <c r="E4" i="12"/>
  <c r="E3" i="12"/>
  <c r="E51" i="12" s="1"/>
  <c r="E2" i="12"/>
  <c r="E50" i="12" s="1"/>
  <c r="B43" i="44" l="1"/>
  <c r="B110" i="12"/>
  <c r="B122" i="12"/>
  <c r="B111" i="12"/>
  <c r="B123" i="12"/>
  <c r="B86" i="12"/>
  <c r="B98" i="12"/>
  <c r="B87" i="12"/>
  <c r="B99" i="12"/>
  <c r="B63" i="12"/>
  <c r="B75" i="12"/>
  <c r="B62" i="12"/>
  <c r="B74" i="12"/>
  <c r="B51" i="12"/>
  <c r="B50" i="12"/>
  <c r="E40" i="12"/>
  <c r="E52" i="12"/>
  <c r="E26" i="12"/>
  <c r="E38" i="12"/>
  <c r="B27" i="12"/>
  <c r="B39" i="12"/>
  <c r="E27" i="12"/>
  <c r="E39" i="12"/>
  <c r="B26" i="12"/>
  <c r="B38" i="12"/>
  <c r="E16" i="12"/>
  <c r="E28" i="12"/>
  <c r="B14" i="12"/>
  <c r="E15" i="12"/>
  <c r="E14" i="12"/>
  <c r="B15" i="12"/>
  <c r="C3" i="12"/>
  <c r="B54" i="44" l="1"/>
  <c r="B58" i="44" s="1"/>
  <c r="C135" i="12"/>
  <c r="L43" i="46" s="1"/>
  <c r="C111" i="12"/>
  <c r="J43" i="46" s="1"/>
  <c r="C123" i="12"/>
  <c r="C87" i="12"/>
  <c r="H43" i="46" s="1"/>
  <c r="C99" i="12"/>
  <c r="C63" i="12"/>
  <c r="C75" i="12"/>
  <c r="G43" i="46" s="1"/>
  <c r="C39" i="12"/>
  <c r="C51" i="12"/>
  <c r="C15" i="12"/>
  <c r="C27" i="12"/>
  <c r="C4" i="12"/>
  <c r="L54" i="46" l="1"/>
  <c r="C57" i="44"/>
  <c r="G85" i="45"/>
  <c r="G85" i="46"/>
  <c r="J54" i="46"/>
  <c r="M43" i="44"/>
  <c r="M43" i="45"/>
  <c r="H54" i="46"/>
  <c r="G54" i="46"/>
  <c r="K43" i="45"/>
  <c r="K43" i="46"/>
  <c r="K43" i="44"/>
  <c r="B60" i="44"/>
  <c r="C136" i="12"/>
  <c r="C112" i="12"/>
  <c r="C124" i="12"/>
  <c r="C88" i="12"/>
  <c r="C100" i="12"/>
  <c r="I43" i="46" s="1"/>
  <c r="C64" i="12"/>
  <c r="G85" i="44" s="1"/>
  <c r="C76" i="12"/>
  <c r="C52" i="12"/>
  <c r="C28" i="12"/>
  <c r="C40" i="12"/>
  <c r="D43" i="44" s="1"/>
  <c r="D54" i="44" s="1"/>
  <c r="C5" i="12"/>
  <c r="C16" i="12"/>
  <c r="K54" i="46" l="1"/>
  <c r="I54" i="46"/>
  <c r="L43" i="44"/>
  <c r="L43" i="45"/>
  <c r="K54" i="45"/>
  <c r="M54" i="45"/>
  <c r="K54" i="44"/>
  <c r="M54" i="44"/>
  <c r="C137" i="12"/>
  <c r="C113" i="12"/>
  <c r="C125" i="12"/>
  <c r="C89" i="12"/>
  <c r="C101" i="12"/>
  <c r="C65" i="12"/>
  <c r="C77" i="12"/>
  <c r="C53" i="12"/>
  <c r="E43" i="44" s="1"/>
  <c r="E54" i="44" s="1"/>
  <c r="C29" i="12"/>
  <c r="C43" i="44" s="1"/>
  <c r="C54" i="44" s="1"/>
  <c r="C58" i="44" s="1"/>
  <c r="C41" i="12"/>
  <c r="C6" i="12"/>
  <c r="C17" i="12"/>
  <c r="C60" i="44" l="1"/>
  <c r="L54" i="45"/>
  <c r="D57" i="44"/>
  <c r="D58" i="44" s="1"/>
  <c r="L54" i="44"/>
  <c r="C138" i="12"/>
  <c r="C114" i="12"/>
  <c r="C126" i="12"/>
  <c r="C90" i="12"/>
  <c r="C102" i="12"/>
  <c r="C66" i="12"/>
  <c r="F43" i="44" s="1"/>
  <c r="C78" i="12"/>
  <c r="C54" i="12"/>
  <c r="C30" i="12"/>
  <c r="C42" i="12"/>
  <c r="C7" i="12"/>
  <c r="C18" i="12"/>
  <c r="D60" i="44" l="1"/>
  <c r="F54" i="44"/>
  <c r="G87" i="44" s="1"/>
  <c r="G56" i="44" s="1"/>
  <c r="E57" i="44"/>
  <c r="C139" i="12"/>
  <c r="C115" i="12"/>
  <c r="C127" i="12"/>
  <c r="C91" i="12"/>
  <c r="C103" i="12"/>
  <c r="C67" i="12"/>
  <c r="F43" i="45" s="1"/>
  <c r="C79" i="12"/>
  <c r="C55" i="12"/>
  <c r="C31" i="12"/>
  <c r="C43" i="12"/>
  <c r="C8" i="12"/>
  <c r="C9" i="12" s="1"/>
  <c r="C19" i="12"/>
  <c r="C43" i="45" l="1"/>
  <c r="C43" i="46"/>
  <c r="C54" i="46" s="1"/>
  <c r="B43" i="45"/>
  <c r="B54" i="45" s="1"/>
  <c r="B58" i="45" s="1"/>
  <c r="B43" i="46"/>
  <c r="E58" i="44"/>
  <c r="F57" i="44" s="1"/>
  <c r="L56" i="44"/>
  <c r="I56" i="44"/>
  <c r="H56" i="44"/>
  <c r="J56" i="44"/>
  <c r="K56" i="44"/>
  <c r="E43" i="46"/>
  <c r="E43" i="45"/>
  <c r="D43" i="45"/>
  <c r="D43" i="46"/>
  <c r="F54" i="45"/>
  <c r="G87" i="45" s="1"/>
  <c r="G56" i="45" s="1"/>
  <c r="C140" i="12"/>
  <c r="C116" i="12"/>
  <c r="C128" i="12"/>
  <c r="C92" i="12"/>
  <c r="C104" i="12"/>
  <c r="C68" i="12"/>
  <c r="F43" i="46" s="1"/>
  <c r="F54" i="46" s="1"/>
  <c r="G87" i="46" s="1"/>
  <c r="G56" i="46" s="1"/>
  <c r="C80" i="12"/>
  <c r="C44" i="12"/>
  <c r="C56" i="12"/>
  <c r="C32" i="12"/>
  <c r="C20" i="12"/>
  <c r="L56" i="46" l="1"/>
  <c r="I56" i="46"/>
  <c r="K56" i="46"/>
  <c r="H56" i="46"/>
  <c r="J56" i="46"/>
  <c r="D54" i="46"/>
  <c r="B60" i="45"/>
  <c r="C57" i="45"/>
  <c r="D54" i="45"/>
  <c r="E54" i="46"/>
  <c r="B54" i="46"/>
  <c r="B58" i="46" s="1"/>
  <c r="H56" i="45"/>
  <c r="J56" i="45"/>
  <c r="I56" i="45"/>
  <c r="L56" i="45"/>
  <c r="K56" i="45"/>
  <c r="E54" i="45"/>
  <c r="E60" i="44"/>
  <c r="F58" i="44"/>
  <c r="G57" i="44" s="1"/>
  <c r="G58" i="44"/>
  <c r="H57" i="44" s="1"/>
  <c r="C54" i="45"/>
  <c r="C58" i="45" s="1"/>
  <c r="C141" i="12"/>
  <c r="C117" i="12"/>
  <c r="C129" i="12"/>
  <c r="C93" i="12"/>
  <c r="C105" i="12"/>
  <c r="C69" i="12"/>
  <c r="C81" i="12"/>
  <c r="C57" i="12"/>
  <c r="C33" i="12"/>
  <c r="C45" i="12"/>
  <c r="C10" i="12"/>
  <c r="C21" i="12"/>
  <c r="H58" i="44" l="1"/>
  <c r="H62" i="44" s="1"/>
  <c r="I57" i="44"/>
  <c r="H60" i="44"/>
  <c r="G60" i="44"/>
  <c r="C57" i="46"/>
  <c r="C58" i="46"/>
  <c r="C60" i="46" s="1"/>
  <c r="D57" i="45"/>
  <c r="C60" i="45"/>
  <c r="B60" i="46"/>
  <c r="F60" i="44"/>
  <c r="C142" i="12"/>
  <c r="C118" i="12"/>
  <c r="C130" i="12"/>
  <c r="C94" i="12"/>
  <c r="C106" i="12"/>
  <c r="C70" i="12"/>
  <c r="C82" i="12"/>
  <c r="C58" i="12"/>
  <c r="C34" i="12"/>
  <c r="C46" i="12"/>
  <c r="C22" i="12"/>
  <c r="I58" i="44" l="1"/>
  <c r="I62" i="44" s="1"/>
  <c r="D58" i="45"/>
  <c r="E57" i="45" s="1"/>
  <c r="D57" i="46"/>
  <c r="E28" i="42"/>
  <c r="B28" i="42"/>
  <c r="C28" i="42"/>
  <c r="F28" i="42"/>
  <c r="E29" i="42"/>
  <c r="F29" i="42"/>
  <c r="C29" i="42"/>
  <c r="B29" i="42"/>
  <c r="E25" i="42"/>
  <c r="B25" i="42"/>
  <c r="B26" i="42" s="1"/>
  <c r="E2" i="42"/>
  <c r="F2" i="42"/>
  <c r="B2" i="42"/>
  <c r="C2" i="42"/>
  <c r="C25" i="42"/>
  <c r="F25" i="42"/>
  <c r="D58" i="46" l="1"/>
  <c r="D60" i="46" s="1"/>
  <c r="I60" i="44"/>
  <c r="E58" i="45"/>
  <c r="F57" i="45" s="1"/>
  <c r="F58" i="45"/>
  <c r="G57" i="45" s="1"/>
  <c r="J57" i="44"/>
  <c r="D60" i="45"/>
  <c r="E26" i="42"/>
  <c r="E5" i="42"/>
  <c r="E41" i="42"/>
  <c r="B6" i="42"/>
  <c r="B9" i="42" s="1"/>
  <c r="B41" i="42"/>
  <c r="E31" i="42"/>
  <c r="C6" i="42"/>
  <c r="C9" i="42" s="1"/>
  <c r="C41" i="42"/>
  <c r="B31" i="42"/>
  <c r="D26" i="42"/>
  <c r="D31" i="42" s="1"/>
  <c r="D34" i="42" s="1"/>
  <c r="D35" i="42" s="1"/>
  <c r="F6" i="42"/>
  <c r="F9" i="42" s="1"/>
  <c r="F41" i="42"/>
  <c r="C26" i="42"/>
  <c r="C31" i="42" s="1"/>
  <c r="C5" i="42"/>
  <c r="C10" i="42" s="1"/>
  <c r="B5" i="42"/>
  <c r="E6" i="42"/>
  <c r="E9" i="42" s="1"/>
  <c r="F26" i="42"/>
  <c r="F31" i="42" s="1"/>
  <c r="F5" i="42"/>
  <c r="F10" i="42" s="1"/>
  <c r="F34" i="42" s="1"/>
  <c r="F35" i="42" s="1"/>
  <c r="G58" i="45" l="1"/>
  <c r="G60" i="45" s="1"/>
  <c r="E57" i="46"/>
  <c r="J58" i="44"/>
  <c r="J62" i="44" s="1"/>
  <c r="J60" i="44"/>
  <c r="F60" i="45"/>
  <c r="E60" i="45"/>
  <c r="B10" i="42"/>
  <c r="B34" i="42" s="1"/>
  <c r="B35" i="42" s="1"/>
  <c r="C34" i="42"/>
  <c r="C35" i="42" s="1"/>
  <c r="E10" i="42"/>
  <c r="E34" i="42" s="1"/>
  <c r="E35" i="42" s="1"/>
  <c r="K57" i="44" l="1"/>
  <c r="E58" i="46"/>
  <c r="F57" i="46" s="1"/>
  <c r="H57" i="45"/>
  <c r="F58" i="46" l="1"/>
  <c r="F60" i="46" s="1"/>
  <c r="H58" i="45"/>
  <c r="H62" i="45" s="1"/>
  <c r="E60" i="46"/>
  <c r="K58" i="44"/>
  <c r="K62" i="44" s="1"/>
  <c r="K60" i="44" l="1"/>
  <c r="H60" i="45"/>
  <c r="L57" i="44"/>
  <c r="I57" i="45"/>
  <c r="G57" i="46"/>
  <c r="G58" i="46" l="1"/>
  <c r="H57" i="46" s="1"/>
  <c r="L58" i="44"/>
  <c r="L62" i="44" s="1"/>
  <c r="I58" i="45"/>
  <c r="I62" i="45" s="1"/>
  <c r="J57" i="45"/>
  <c r="I60" i="45"/>
  <c r="H58" i="46" l="1"/>
  <c r="H62" i="46" s="1"/>
  <c r="J58" i="45"/>
  <c r="J62" i="45" s="1"/>
  <c r="G60" i="46"/>
  <c r="L60" i="44"/>
  <c r="M57" i="44"/>
  <c r="H60" i="46" l="1"/>
  <c r="M58" i="44"/>
  <c r="M60" i="44" s="1"/>
  <c r="K57" i="45"/>
  <c r="J60" i="45"/>
  <c r="I57" i="46"/>
  <c r="K58" i="45" l="1"/>
  <c r="K62" i="45" s="1"/>
  <c r="I58" i="46"/>
  <c r="I62" i="46" s="1"/>
  <c r="M62" i="44"/>
  <c r="N58" i="44"/>
  <c r="J57" i="46" l="1"/>
  <c r="K60" i="45"/>
  <c r="I60" i="46"/>
  <c r="L57" i="45"/>
  <c r="L58" i="45" l="1"/>
  <c r="L62" i="45" s="1"/>
  <c r="J58" i="46"/>
  <c r="J62" i="46" s="1"/>
  <c r="K57" i="46" l="1"/>
  <c r="L60" i="45"/>
  <c r="J60" i="46"/>
  <c r="M57" i="45"/>
  <c r="M58" i="45" l="1"/>
  <c r="M60" i="45" s="1"/>
  <c r="K58" i="46"/>
  <c r="L57" i="46" s="1"/>
  <c r="K60" i="46" l="1"/>
  <c r="K62" i="46"/>
  <c r="L58" i="46"/>
  <c r="L60" i="46" s="1"/>
  <c r="M62" i="45"/>
  <c r="N58" i="45"/>
  <c r="L62" i="46" l="1"/>
  <c r="M58" i="46"/>
  <c r="M57" i="46"/>
  <c r="M60" i="46" l="1"/>
  <c r="M62" i="46"/>
  <c r="N58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Eugenio</author>
  </authors>
  <commentList>
    <comment ref="G56" authorId="0" shapeId="0" xr:uid="{0522B1C1-7151-4809-9FEC-2A575E515707}">
      <text>
        <r>
          <rPr>
            <sz val="9"/>
            <color indexed="81"/>
            <rFont val="Tahoma"/>
            <family val="2"/>
          </rPr>
          <t>Corresponde a las cuotas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Eugenio</author>
  </authors>
  <commentList>
    <comment ref="G56" authorId="0" shapeId="0" xr:uid="{59A21AD0-B96C-4315-950A-E84BD051CAF7}">
      <text>
        <r>
          <rPr>
            <sz val="9"/>
            <color indexed="81"/>
            <rFont val="Tahoma"/>
            <family val="2"/>
          </rPr>
          <t>Corresponde a las cuotas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Eugenio</author>
  </authors>
  <commentList>
    <comment ref="G56" authorId="0" shapeId="0" xr:uid="{D8AAB224-6C8E-4354-B97C-4A92873D4EED}">
      <text>
        <r>
          <rPr>
            <sz val="9"/>
            <color indexed="81"/>
            <rFont val="Tahoma"/>
            <family val="2"/>
          </rPr>
          <t>Corresponde a las cuotas</t>
        </r>
      </text>
    </comment>
  </commentList>
</comments>
</file>

<file path=xl/sharedStrings.xml><?xml version="1.0" encoding="utf-8"?>
<sst xmlns="http://schemas.openxmlformats.org/spreadsheetml/2006/main" count="276" uniqueCount="95">
  <si>
    <t>Retenido</t>
  </si>
  <si>
    <t>Enero</t>
  </si>
  <si>
    <t>Febrero</t>
  </si>
  <si>
    <t>Marzo</t>
  </si>
  <si>
    <t>Abril</t>
  </si>
  <si>
    <t>Mayo</t>
  </si>
  <si>
    <t>Junio</t>
  </si>
  <si>
    <t>Sueldos</t>
  </si>
  <si>
    <t>Retenciones</t>
  </si>
  <si>
    <t>Neto</t>
  </si>
  <si>
    <t>Total</t>
  </si>
  <si>
    <t>Seguro de Vida</t>
  </si>
  <si>
    <t>Mín. No Imp.</t>
  </si>
  <si>
    <t>Ded. Especial</t>
  </si>
  <si>
    <t>Julio</t>
  </si>
  <si>
    <t>Agosto</t>
  </si>
  <si>
    <t>Septiembre</t>
  </si>
  <si>
    <t>Octubre</t>
  </si>
  <si>
    <t>Noviembre</t>
  </si>
  <si>
    <t>Diciembre</t>
  </si>
  <si>
    <t>Conyuge</t>
  </si>
  <si>
    <t>Hijos</t>
  </si>
  <si>
    <t>A Retener</t>
  </si>
  <si>
    <t>CM Asistencial</t>
  </si>
  <si>
    <t>Donaciones</t>
  </si>
  <si>
    <t>Int. Hipotec</t>
  </si>
  <si>
    <t>Asist Paramed</t>
  </si>
  <si>
    <t>Anualizado</t>
  </si>
  <si>
    <t>Prorrateo Premios</t>
  </si>
  <si>
    <t>Pers. Doméstico</t>
  </si>
  <si>
    <t>Tope</t>
  </si>
  <si>
    <t>Retenc. Anterior (c.71-2)</t>
  </si>
  <si>
    <t>Alquileres</t>
  </si>
  <si>
    <t>Prorrateo Ingresos</t>
  </si>
  <si>
    <t>Prorrateo Aportes</t>
  </si>
  <si>
    <t>Prorrateo Vacaciones</t>
  </si>
  <si>
    <t>1/12 Pte Sueldo Res. 4003/17</t>
  </si>
  <si>
    <t>Ret. 1/12 Parte</t>
  </si>
  <si>
    <t>H.Extras 50% Hab (y Ad.Noc)</t>
  </si>
  <si>
    <t>H.Extras 50% Inhab (y Ad.Noc)</t>
  </si>
  <si>
    <t>H.Extras 100% Inhab (y Ad.Noc)</t>
  </si>
  <si>
    <t>Horas Extras Gravadas</t>
  </si>
  <si>
    <t>Horas Extras Exentas</t>
  </si>
  <si>
    <t>Aporte Horas Extras Gravadas</t>
  </si>
  <si>
    <t>Aporte Horas Extras Exentas</t>
  </si>
  <si>
    <t>GNSI</t>
  </si>
  <si>
    <t>Impuesto Determinado</t>
  </si>
  <si>
    <t>Porcentaje Aportes Sindicales</t>
  </si>
  <si>
    <t>Sueldos Anterior Prorrateado</t>
  </si>
  <si>
    <t>Ap. Por Sueldo Prorrateado Ant.</t>
  </si>
  <si>
    <t>Otros</t>
  </si>
  <si>
    <t>Soltero</t>
  </si>
  <si>
    <t>Casado</t>
  </si>
  <si>
    <t>Cas + 2H</t>
  </si>
  <si>
    <t>Soltero + 2H</t>
  </si>
  <si>
    <t>Aportes Caja</t>
  </si>
  <si>
    <t>Soltero + 1H</t>
  </si>
  <si>
    <t>Alquiler</t>
  </si>
  <si>
    <t>No Remunerativos</t>
  </si>
  <si>
    <t>Indumentaria y Equipamiento</t>
  </si>
  <si>
    <t>Impuesto Diferido</t>
  </si>
  <si>
    <t>Aportes</t>
  </si>
  <si>
    <t>GNSI Anual</t>
  </si>
  <si>
    <t>GNSI Mes</t>
  </si>
  <si>
    <t>Retenido Anterior</t>
  </si>
  <si>
    <t>Int. Hipotecario</t>
  </si>
  <si>
    <t>Asist Paramédica</t>
  </si>
  <si>
    <t>Otras Deducciones Siradig</t>
  </si>
  <si>
    <t>Deducción Incrementada L.27.617 1° Parte</t>
  </si>
  <si>
    <t>Deducción Incrementada L.27.617 2° Parte</t>
  </si>
  <si>
    <t>Sueldo</t>
  </si>
  <si>
    <t>Deducción</t>
  </si>
  <si>
    <t>Remuneración Mes</t>
  </si>
  <si>
    <t>Remuneración Promedio</t>
  </si>
  <si>
    <t>Remuneración Mes Base</t>
  </si>
  <si>
    <t>A Fines de Cálculo Cuotas</t>
  </si>
  <si>
    <t>Deducción Incrementada 1° Parte</t>
  </si>
  <si>
    <t>Deducción Incrementada 2° Parte</t>
  </si>
  <si>
    <t>Cálculo Cuotas</t>
  </si>
  <si>
    <t>I.Determinado '</t>
  </si>
  <si>
    <t>GNSI Mayo '</t>
  </si>
  <si>
    <t>GNSI Mayo Sin HE '</t>
  </si>
  <si>
    <t>Cuotas a Devolver</t>
  </si>
  <si>
    <t>Baja "X" - Alta "A"</t>
  </si>
  <si>
    <t>Valor Impuesto Retenido, si cuota se desagrega</t>
  </si>
  <si>
    <t>Total Deducciones</t>
  </si>
  <si>
    <t>SAC</t>
  </si>
  <si>
    <t>SAC Exento</t>
  </si>
  <si>
    <t>Hijos Incapacitados</t>
  </si>
  <si>
    <t>No es responsabilidad del autor los resultados obtenidos con la aplicación. Cada liquidación tiene su particularidad.  Para realizar una correcta liquidación se recomienda consulte a un Contador Público Matriculado.</t>
  </si>
  <si>
    <t>Créditos</t>
  </si>
  <si>
    <t>Publicado por www.ignacioonline.com.ar</t>
  </si>
  <si>
    <t>Planilla Retenciones Ganancias cuarta Categoría en Relación de dependencia 2021</t>
  </si>
  <si>
    <t>Este libro se compone 3 hojas con tres casos para para estimar y controlar retenciones de ganancias 4ta categorìa para empleados en relación de dependencia 2021. Incorpora cambios RG 5076</t>
  </si>
  <si>
    <t>Autor: Eugenio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</si>
</sst>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-&quot;$&quot;\ * #,##0.000000_-;\-&quot;$&quot;\ * #,##0.000000_-;_-&quot;$&quot;\ * &quot;-&quot;??_-;_-@_-"/>
    <numFmt numFmtId="166" formatCode="mmmm"/>
  </numFmts>
  <fonts count="6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sz val="8"/>
      <color theme="3" tint="-0.249977111117893"/>
      <name val="Arial"/>
      <family val="2"/>
    </font>
    <font>
      <i/>
      <sz val="8"/>
      <color theme="1"/>
      <name val="Arial"/>
      <family val="2"/>
    </font>
    <font>
      <i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i/>
      <sz val="8"/>
      <color theme="0" tint="-0.34998626667073579"/>
      <name val="Arial Narrow"/>
      <family val="2"/>
    </font>
    <font>
      <sz val="8"/>
      <color theme="1" tint="0.34998626667073579"/>
      <name val="Arial"/>
      <family val="2"/>
    </font>
    <font>
      <sz val="8"/>
      <color rgb="FF002060"/>
      <name val="Arial"/>
      <family val="2"/>
    </font>
    <font>
      <i/>
      <sz val="8"/>
      <color theme="1" tint="0.499984740745262"/>
      <name val="Arial"/>
      <family val="2"/>
    </font>
    <font>
      <i/>
      <sz val="8"/>
      <color theme="0" tint="-0.499984740745262"/>
      <name val="Arial Narrow"/>
      <family val="2"/>
    </font>
    <font>
      <i/>
      <sz val="8"/>
      <color theme="0" tint="-0.499984740745262"/>
      <name val="Arial"/>
      <family val="2"/>
    </font>
    <font>
      <sz val="9"/>
      <color rgb="FF0070C0"/>
      <name val="Arial"/>
      <family val="2"/>
    </font>
    <font>
      <sz val="8"/>
      <color theme="8" tint="-0.499984740745262"/>
      <name val="Arial"/>
      <family val="2"/>
    </font>
    <font>
      <i/>
      <sz val="8"/>
      <color theme="8" tint="-0.499984740745262"/>
      <name val="Arial"/>
      <family val="2"/>
    </font>
    <font>
      <sz val="9"/>
      <color indexed="81"/>
      <name val="Tahoma"/>
      <family val="2"/>
    </font>
    <font>
      <sz val="8"/>
      <color rgb="FF0070C0"/>
      <name val="Arial"/>
      <family val="2"/>
    </font>
    <font>
      <i/>
      <sz val="8"/>
      <color rgb="FF0070C0"/>
      <name val="Arial Narrow"/>
      <family val="2"/>
    </font>
    <font>
      <sz val="8"/>
      <color rgb="FF00B0F0"/>
      <name val="Arial"/>
      <family val="2"/>
    </font>
    <font>
      <i/>
      <u val="singleAccounting"/>
      <sz val="8"/>
      <color theme="0" tint="-0.499984740745262"/>
      <name val="Arial"/>
      <family val="2"/>
    </font>
    <font>
      <u/>
      <sz val="8"/>
      <color rgb="FF0070C0"/>
      <name val="Arial"/>
      <family val="2"/>
    </font>
    <font>
      <i/>
      <sz val="8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7" tint="-0.499984740745262"/>
      <name val="Times New Roman"/>
      <family val="1"/>
    </font>
    <font>
      <sz val="10"/>
      <color theme="7" tint="-0.499984740745262"/>
      <name val="Calibri"/>
      <family val="2"/>
      <scheme val="minor"/>
    </font>
    <font>
      <b/>
      <u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u/>
      <sz val="10"/>
      <color theme="7" tint="-0.499984740745262"/>
      <name val="Times New Roman"/>
      <family val="1"/>
    </font>
    <font>
      <b/>
      <sz val="14"/>
      <color theme="7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/>
    <xf numFmtId="9" fontId="22" fillId="0" borderId="1" xfId="0" applyNumberFormat="1" applyFont="1" applyFill="1" applyBorder="1" applyAlignment="1" applyProtection="1">
      <alignment horizontal="center" vertical="center"/>
    </xf>
    <xf numFmtId="164" fontId="27" fillId="0" borderId="0" xfId="1" applyFont="1" applyFill="1" applyAlignment="1">
      <alignment horizontal="center"/>
    </xf>
    <xf numFmtId="164" fontId="27" fillId="0" borderId="0" xfId="0" applyNumberFormat="1" applyFont="1"/>
    <xf numFmtId="164" fontId="27" fillId="0" borderId="0" xfId="1" applyFont="1"/>
    <xf numFmtId="0" fontId="27" fillId="0" borderId="0" xfId="0" applyFont="1"/>
    <xf numFmtId="0" fontId="28" fillId="0" borderId="0" xfId="0" applyFont="1" applyAlignment="1">
      <alignment horizontal="center"/>
    </xf>
    <xf numFmtId="164" fontId="28" fillId="2" borderId="0" xfId="1" applyFont="1" applyFill="1" applyAlignment="1">
      <alignment horizontal="center"/>
    </xf>
    <xf numFmtId="164" fontId="27" fillId="2" borderId="0" xfId="1" applyFont="1" applyFill="1"/>
    <xf numFmtId="164" fontId="28" fillId="0" borderId="0" xfId="1" applyFont="1"/>
    <xf numFmtId="164" fontId="28" fillId="2" borderId="0" xfId="1" applyFont="1" applyFill="1"/>
    <xf numFmtId="164" fontId="27" fillId="3" borderId="0" xfId="1" applyFont="1" applyFill="1"/>
    <xf numFmtId="164" fontId="23" fillId="0" borderId="0" xfId="1" applyFont="1"/>
    <xf numFmtId="0" fontId="23" fillId="0" borderId="0" xfId="0" applyFont="1"/>
    <xf numFmtId="0" fontId="24" fillId="0" borderId="0" xfId="0" applyFont="1" applyAlignment="1">
      <alignment horizontal="center"/>
    </xf>
    <xf numFmtId="164" fontId="27" fillId="4" borderId="0" xfId="1" applyFont="1" applyFill="1"/>
    <xf numFmtId="164" fontId="27" fillId="4" borderId="0" xfId="1" applyFont="1" applyFill="1" applyAlignment="1">
      <alignment horizontal="center"/>
    </xf>
    <xf numFmtId="164" fontId="23" fillId="4" borderId="0" xfId="1" applyFont="1" applyFill="1"/>
    <xf numFmtId="164" fontId="31" fillId="0" borderId="0" xfId="1" applyFont="1"/>
    <xf numFmtId="0" fontId="31" fillId="0" borderId="0" xfId="0" applyFont="1"/>
    <xf numFmtId="164" fontId="31" fillId="0" borderId="0" xfId="1" applyFont="1" applyFill="1" applyAlignment="1">
      <alignment horizontal="center"/>
    </xf>
    <xf numFmtId="0" fontId="25" fillId="0" borderId="0" xfId="0" applyFont="1"/>
    <xf numFmtId="0" fontId="27" fillId="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4" fontId="32" fillId="0" borderId="0" xfId="1" applyFont="1"/>
    <xf numFmtId="164" fontId="32" fillId="0" borderId="0" xfId="0" applyNumberFormat="1" applyFont="1"/>
    <xf numFmtId="0" fontId="32" fillId="0" borderId="0" xfId="0" applyFont="1"/>
    <xf numFmtId="164" fontId="21" fillId="0" borderId="0" xfId="1" applyFont="1"/>
    <xf numFmtId="164" fontId="33" fillId="4" borderId="0" xfId="1" applyFont="1" applyFill="1"/>
    <xf numFmtId="164" fontId="33" fillId="4" borderId="0" xfId="1" applyFont="1" applyFill="1" applyAlignment="1">
      <alignment horizontal="center"/>
    </xf>
    <xf numFmtId="0" fontId="33" fillId="0" borderId="0" xfId="0" applyFont="1"/>
    <xf numFmtId="164" fontId="27" fillId="0" borderId="0" xfId="1" applyFont="1" applyFill="1"/>
    <xf numFmtId="164" fontId="34" fillId="0" borderId="0" xfId="1" applyFont="1"/>
    <xf numFmtId="0" fontId="20" fillId="4" borderId="0" xfId="0" applyFont="1" applyFill="1" applyAlignment="1">
      <alignment horizontal="center"/>
    </xf>
    <xf numFmtId="164" fontId="19" fillId="0" borderId="0" xfId="1" applyFont="1"/>
    <xf numFmtId="164" fontId="35" fillId="0" borderId="0" xfId="1" applyFont="1" applyFill="1"/>
    <xf numFmtId="164" fontId="35" fillId="0" borderId="0" xfId="0" applyNumberFormat="1" applyFont="1"/>
    <xf numFmtId="0" fontId="35" fillId="0" borderId="0" xfId="0" applyFont="1"/>
    <xf numFmtId="164" fontId="18" fillId="0" borderId="0" xfId="1" applyFont="1"/>
    <xf numFmtId="164" fontId="18" fillId="0" borderId="0" xfId="1" applyFont="1" applyFill="1"/>
    <xf numFmtId="164" fontId="29" fillId="5" borderId="0" xfId="1" applyFont="1" applyFill="1"/>
    <xf numFmtId="164" fontId="30" fillId="5" borderId="0" xfId="1" applyFont="1" applyFill="1"/>
    <xf numFmtId="164" fontId="17" fillId="0" borderId="0" xfId="1" applyFont="1"/>
    <xf numFmtId="164" fontId="16" fillId="0" borderId="0" xfId="1" applyFont="1"/>
    <xf numFmtId="164" fontId="15" fillId="0" borderId="0" xfId="1" applyFont="1" applyFill="1"/>
    <xf numFmtId="164" fontId="15" fillId="4" borderId="0" xfId="1" applyFont="1" applyFill="1"/>
    <xf numFmtId="0" fontId="15" fillId="0" borderId="0" xfId="0" applyFont="1"/>
    <xf numFmtId="164" fontId="36" fillId="0" borderId="0" xfId="1" applyFont="1" applyFill="1"/>
    <xf numFmtId="0" fontId="36" fillId="0" borderId="0" xfId="0" applyFont="1" applyFill="1"/>
    <xf numFmtId="164" fontId="15" fillId="0" borderId="0" xfId="1" applyFont="1"/>
    <xf numFmtId="0" fontId="37" fillId="0" borderId="0" xfId="0" applyFont="1" applyAlignment="1">
      <alignment horizontal="center"/>
    </xf>
    <xf numFmtId="9" fontId="31" fillId="0" borderId="0" xfId="2" applyFont="1" applyAlignment="1">
      <alignment horizontal="center"/>
    </xf>
    <xf numFmtId="164" fontId="14" fillId="0" borderId="0" xfId="1" applyFont="1" applyFill="1"/>
    <xf numFmtId="9" fontId="14" fillId="4" borderId="0" xfId="0" applyNumberFormat="1" applyFont="1" applyFill="1" applyAlignment="1">
      <alignment horizontal="center"/>
    </xf>
    <xf numFmtId="164" fontId="38" fillId="0" borderId="0" xfId="1" applyFont="1"/>
    <xf numFmtId="164" fontId="38" fillId="0" borderId="0" xfId="0" applyNumberFormat="1" applyFont="1"/>
    <xf numFmtId="0" fontId="38" fillId="0" borderId="0" xfId="0" applyFont="1"/>
    <xf numFmtId="164" fontId="13" fillId="0" borderId="0" xfId="1" applyFont="1"/>
    <xf numFmtId="164" fontId="13" fillId="4" borderId="0" xfId="1" applyFont="1" applyFill="1"/>
    <xf numFmtId="0" fontId="13" fillId="0" borderId="0" xfId="0" applyFont="1"/>
    <xf numFmtId="4" fontId="27" fillId="0" borderId="0" xfId="0" applyNumberFormat="1" applyFont="1"/>
    <xf numFmtId="164" fontId="12" fillId="0" borderId="0" xfId="1" applyFont="1"/>
    <xf numFmtId="164" fontId="12" fillId="4" borderId="0" xfId="1" applyFont="1" applyFill="1"/>
    <xf numFmtId="164" fontId="39" fillId="0" borderId="0" xfId="1" applyFont="1"/>
    <xf numFmtId="44" fontId="27" fillId="0" borderId="0" xfId="0" applyNumberFormat="1" applyFont="1"/>
    <xf numFmtId="164" fontId="11" fillId="0" borderId="0" xfId="1" applyFont="1"/>
    <xf numFmtId="44" fontId="31" fillId="0" borderId="0" xfId="0" applyNumberFormat="1" applyFont="1"/>
    <xf numFmtId="0" fontId="11" fillId="0" borderId="0" xfId="0" applyFont="1"/>
    <xf numFmtId="164" fontId="10" fillId="0" borderId="0" xfId="1" applyFont="1"/>
    <xf numFmtId="164" fontId="40" fillId="0" borderId="0" xfId="1" applyFont="1" applyAlignment="1">
      <alignment vertical="center"/>
    </xf>
    <xf numFmtId="164" fontId="40" fillId="4" borderId="0" xfId="1" applyFont="1" applyFill="1" applyAlignment="1">
      <alignment vertical="center"/>
    </xf>
    <xf numFmtId="16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0" fontId="27" fillId="0" borderId="0" xfId="2" applyNumberFormat="1" applyFont="1"/>
    <xf numFmtId="164" fontId="39" fillId="0" borderId="0" xfId="0" applyNumberFormat="1" applyFont="1"/>
    <xf numFmtId="10" fontId="39" fillId="0" borderId="0" xfId="2" applyNumberFormat="1" applyFont="1"/>
    <xf numFmtId="164" fontId="9" fillId="0" borderId="0" xfId="0" applyNumberFormat="1" applyFont="1"/>
    <xf numFmtId="0" fontId="9" fillId="0" borderId="0" xfId="0" applyFont="1"/>
    <xf numFmtId="164" fontId="34" fillId="0" borderId="0" xfId="1" applyFont="1" applyAlignment="1">
      <alignment wrapText="1"/>
    </xf>
    <xf numFmtId="164" fontId="8" fillId="4" borderId="0" xfId="1" applyFont="1" applyFill="1"/>
    <xf numFmtId="164" fontId="7" fillId="4" borderId="0" xfId="1" applyFont="1" applyFill="1"/>
    <xf numFmtId="164" fontId="22" fillId="0" borderId="1" xfId="1" applyFont="1" applyFill="1" applyBorder="1" applyAlignment="1" applyProtection="1">
      <alignment horizontal="center" vertical="center"/>
    </xf>
    <xf numFmtId="164" fontId="22" fillId="6" borderId="1" xfId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 vertical="center"/>
    </xf>
    <xf numFmtId="164" fontId="6" fillId="0" borderId="0" xfId="1" applyFont="1"/>
    <xf numFmtId="0" fontId="5" fillId="0" borderId="0" xfId="0" applyFont="1"/>
    <xf numFmtId="164" fontId="13" fillId="6" borderId="0" xfId="1" applyFont="1" applyFill="1"/>
    <xf numFmtId="164" fontId="41" fillId="0" borderId="0" xfId="1" applyFont="1"/>
    <xf numFmtId="164" fontId="41" fillId="2" borderId="0" xfId="1" applyFont="1" applyFill="1"/>
    <xf numFmtId="0" fontId="41" fillId="0" borderId="0" xfId="0" applyFont="1"/>
    <xf numFmtId="164" fontId="42" fillId="0" borderId="0" xfId="0" applyNumberFormat="1" applyFont="1"/>
    <xf numFmtId="165" fontId="13" fillId="0" borderId="0" xfId="0" applyNumberFormat="1" applyFont="1"/>
    <xf numFmtId="166" fontId="28" fillId="0" borderId="0" xfId="1" applyNumberFormat="1" applyFont="1" applyAlignment="1">
      <alignment horizontal="center"/>
    </xf>
    <xf numFmtId="44" fontId="23" fillId="0" borderId="0" xfId="0" applyNumberFormat="1" applyFont="1"/>
    <xf numFmtId="164" fontId="4" fillId="0" borderId="0" xfId="1" applyFont="1"/>
    <xf numFmtId="164" fontId="3" fillId="0" borderId="0" xfId="1" applyFont="1"/>
    <xf numFmtId="164" fontId="13" fillId="0" borderId="0" xfId="1" applyFont="1" applyFill="1"/>
    <xf numFmtId="164" fontId="27" fillId="6" borderId="0" xfId="1" applyFont="1" applyFill="1"/>
    <xf numFmtId="44" fontId="28" fillId="0" borderId="0" xfId="3" applyFont="1" applyFill="1" applyBorder="1" applyAlignment="1">
      <alignment horizontal="center" vertical="top"/>
    </xf>
    <xf numFmtId="0" fontId="2" fillId="0" borderId="0" xfId="4" applyFont="1"/>
    <xf numFmtId="44" fontId="2" fillId="6" borderId="0" xfId="3" applyFont="1" applyFill="1" applyBorder="1" applyAlignment="1">
      <alignment horizontal="left" vertical="top"/>
    </xf>
    <xf numFmtId="44" fontId="2" fillId="0" borderId="0" xfId="3" applyFont="1" applyFill="1" applyBorder="1" applyAlignment="1">
      <alignment horizontal="left" vertical="top"/>
    </xf>
    <xf numFmtId="44" fontId="2" fillId="8" borderId="0" xfId="3" applyFont="1" applyFill="1" applyBorder="1" applyAlignment="1">
      <alignment horizontal="left" vertical="top"/>
    </xf>
    <xf numFmtId="44" fontId="2" fillId="9" borderId="0" xfId="3" applyFont="1" applyFill="1" applyBorder="1" applyAlignment="1">
      <alignment horizontal="left" vertical="top"/>
    </xf>
    <xf numFmtId="164" fontId="44" fillId="0" borderId="0" xfId="5" applyFont="1"/>
    <xf numFmtId="164" fontId="45" fillId="0" borderId="0" xfId="5" applyFont="1"/>
    <xf numFmtId="164" fontId="44" fillId="6" borderId="0" xfId="5" applyFont="1" applyFill="1"/>
    <xf numFmtId="164" fontId="2" fillId="0" borderId="0" xfId="1" applyFont="1"/>
    <xf numFmtId="164" fontId="46" fillId="0" borderId="0" xfId="1" applyFont="1"/>
    <xf numFmtId="0" fontId="32" fillId="0" borderId="0" xfId="4" applyFont="1"/>
    <xf numFmtId="164" fontId="47" fillId="0" borderId="0" xfId="5" applyFont="1"/>
    <xf numFmtId="164" fontId="2" fillId="0" borderId="0" xfId="5" applyFont="1" applyFill="1" applyAlignment="1">
      <alignment horizontal="center"/>
    </xf>
    <xf numFmtId="0" fontId="23" fillId="0" borderId="0" xfId="4" applyFont="1"/>
    <xf numFmtId="164" fontId="39" fillId="0" borderId="0" xfId="5" applyFont="1"/>
    <xf numFmtId="0" fontId="48" fillId="0" borderId="0" xfId="4" applyFont="1"/>
    <xf numFmtId="0" fontId="2" fillId="0" borderId="0" xfId="0" applyFont="1"/>
    <xf numFmtId="9" fontId="49" fillId="0" borderId="0" xfId="2" applyFont="1" applyFill="1" applyAlignment="1">
      <alignment horizontal="center"/>
    </xf>
    <xf numFmtId="164" fontId="41" fillId="7" borderId="0" xfId="1" applyFont="1" applyFill="1"/>
    <xf numFmtId="164" fontId="41" fillId="0" borderId="0" xfId="1" applyFont="1" applyFill="1"/>
    <xf numFmtId="164" fontId="42" fillId="0" borderId="0" xfId="1" applyFont="1"/>
    <xf numFmtId="164" fontId="36" fillId="6" borderId="0" xfId="1" applyFont="1" applyFill="1"/>
    <xf numFmtId="164" fontId="41" fillId="6" borderId="0" xfId="1" applyFont="1" applyFill="1"/>
    <xf numFmtId="164" fontId="1" fillId="0" borderId="0" xfId="1" applyFont="1"/>
    <xf numFmtId="0" fontId="39" fillId="0" borderId="0" xfId="0" applyFont="1"/>
    <xf numFmtId="164" fontId="1" fillId="0" borderId="0" xfId="1" applyFont="1" applyFill="1"/>
    <xf numFmtId="0" fontId="0" fillId="10" borderId="0" xfId="0" applyFill="1"/>
    <xf numFmtId="0" fontId="51" fillId="10" borderId="0" xfId="0" applyFont="1" applyFill="1"/>
    <xf numFmtId="0" fontId="54" fillId="10" borderId="0" xfId="0" applyFont="1" applyFill="1"/>
    <xf numFmtId="0" fontId="51" fillId="11" borderId="0" xfId="0" applyFont="1" applyFill="1"/>
    <xf numFmtId="0" fontId="53" fillId="11" borderId="0" xfId="0" applyFont="1" applyFill="1"/>
    <xf numFmtId="0" fontId="55" fillId="11" borderId="0" xfId="0" applyFont="1" applyFill="1"/>
    <xf numFmtId="0" fontId="56" fillId="11" borderId="0" xfId="0" applyFont="1" applyFill="1"/>
    <xf numFmtId="0" fontId="54" fillId="11" borderId="0" xfId="0" applyFont="1" applyFill="1"/>
    <xf numFmtId="0" fontId="57" fillId="11" borderId="0" xfId="0" applyFont="1" applyFill="1"/>
    <xf numFmtId="0" fontId="58" fillId="11" borderId="0" xfId="0" applyFont="1" applyFill="1"/>
    <xf numFmtId="0" fontId="59" fillId="11" borderId="0" xfId="6" applyFont="1" applyFill="1" applyProtection="1"/>
    <xf numFmtId="0" fontId="60" fillId="10" borderId="0" xfId="0" applyFont="1" applyFill="1"/>
    <xf numFmtId="0" fontId="52" fillId="11" borderId="0" xfId="0" applyFont="1" applyFill="1" applyAlignment="1">
      <alignment horizontal="left" vertical="center" wrapText="1"/>
    </xf>
  </cellXfs>
  <cellStyles count="7">
    <cellStyle name="Hipervínculo" xfId="6" builtinId="8"/>
    <cellStyle name="Moneda" xfId="1" builtinId="4"/>
    <cellStyle name="Moneda 2" xfId="5" xr:uid="{BBF9252A-A0D1-4363-8370-61944BF7474D}"/>
    <cellStyle name="Moneda 3" xfId="3" xr:uid="{B3B7263D-2041-4D6B-9477-497321AC348F}"/>
    <cellStyle name="Normal" xfId="0" builtinId="0"/>
    <cellStyle name="Normal 2" xfId="4" xr:uid="{2B966C93-79D6-409F-A580-8066A9E9B92E}"/>
    <cellStyle name="Porcentaje" xfId="2" builtinId="5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inkedin.com/in/eugenio-v%C3%A1zquez-78597675/" TargetMode="External"/><Relationship Id="rId1" Type="http://schemas.openxmlformats.org/officeDocument/2006/relationships/hyperlink" Target="https://www.ignacioonline.com.a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workbookViewId="0">
      <pane xSplit="1" ySplit="1" topLeftCell="B2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baseColWidth="10" defaultColWidth="11.42578125" defaultRowHeight="11.25" x14ac:dyDescent="0.2"/>
  <cols>
    <col min="1" max="1" width="24.5703125" style="4" bestFit="1" customWidth="1"/>
    <col min="2" max="2" width="11.140625" style="5" bestFit="1" customWidth="1"/>
    <col min="3" max="3" width="12.140625" style="5" bestFit="1" customWidth="1"/>
    <col min="4" max="4" width="11.140625" style="5" bestFit="1" customWidth="1"/>
    <col min="5" max="6" width="12.140625" style="5" bestFit="1" customWidth="1"/>
    <col min="7" max="16384" width="11.42578125" style="5"/>
  </cols>
  <sheetData>
    <row r="1" spans="1:8" x14ac:dyDescent="0.2">
      <c r="B1" s="6" t="s">
        <v>51</v>
      </c>
      <c r="C1" s="6" t="s">
        <v>52</v>
      </c>
      <c r="D1" s="6" t="s">
        <v>56</v>
      </c>
      <c r="E1" s="6" t="s">
        <v>54</v>
      </c>
      <c r="F1" s="6" t="s">
        <v>53</v>
      </c>
    </row>
    <row r="2" spans="1:8" s="72" customFormat="1" ht="17.25" customHeight="1" x14ac:dyDescent="0.25">
      <c r="A2" s="69" t="s">
        <v>7</v>
      </c>
      <c r="B2" s="70">
        <f>SUM($G$25:$G$26)/13*12/0.83</f>
        <v>90132.967562557911</v>
      </c>
      <c r="C2" s="70">
        <f>SUM($G$25:$G$26,$G28)/13*12/0.83</f>
        <v>104620.51436515291</v>
      </c>
      <c r="D2" s="70">
        <f>SUM($G$25:$G$26,$G29)/13*12/0.83</f>
        <v>97439.091751621876</v>
      </c>
      <c r="E2" s="70">
        <f>SUM($G$25:$G$26,$G29*2)/13*12/0.83</f>
        <v>104745.21594068581</v>
      </c>
      <c r="F2" s="70">
        <f>SUM($G$25:$G$26,$G28,$G29*2)/13*12/0.83</f>
        <v>119232.76274328079</v>
      </c>
      <c r="G2" s="71"/>
      <c r="H2" s="71"/>
    </row>
    <row r="3" spans="1:8" x14ac:dyDescent="0.2">
      <c r="A3" s="61" t="s">
        <v>50</v>
      </c>
      <c r="B3" s="62">
        <v>0</v>
      </c>
      <c r="C3" s="62">
        <v>0</v>
      </c>
      <c r="D3" s="62">
        <v>0</v>
      </c>
      <c r="E3" s="62">
        <v>0</v>
      </c>
      <c r="F3" s="62">
        <v>0</v>
      </c>
    </row>
    <row r="4" spans="1:8" x14ac:dyDescent="0.2">
      <c r="A4" s="57" t="s">
        <v>48</v>
      </c>
      <c r="B4" s="62">
        <v>0</v>
      </c>
      <c r="C4" s="62">
        <v>0</v>
      </c>
      <c r="D4" s="62">
        <v>0</v>
      </c>
      <c r="E4" s="62">
        <v>0</v>
      </c>
      <c r="F4" s="62">
        <v>0</v>
      </c>
    </row>
    <row r="5" spans="1:8" x14ac:dyDescent="0.2">
      <c r="A5" s="42" t="s">
        <v>36</v>
      </c>
      <c r="B5" s="62">
        <f>B2/12</f>
        <v>7511.0806302131596</v>
      </c>
      <c r="C5" s="62">
        <f t="shared" ref="C5:F5" si="0">C2/12</f>
        <v>8718.376197096075</v>
      </c>
      <c r="D5" s="62">
        <f t="shared" ref="D5:E5" si="1">D2/12</f>
        <v>8119.9243126351566</v>
      </c>
      <c r="E5" s="62">
        <f t="shared" si="1"/>
        <v>8728.767995057151</v>
      </c>
      <c r="F5" s="62">
        <f t="shared" si="0"/>
        <v>9936.0635619400655</v>
      </c>
    </row>
    <row r="6" spans="1:8" x14ac:dyDescent="0.2">
      <c r="A6" s="4" t="s">
        <v>8</v>
      </c>
      <c r="B6" s="62">
        <f>B2*0.17</f>
        <v>15322.604485634845</v>
      </c>
      <c r="C6" s="62">
        <f t="shared" ref="C6:F6" si="2">C2*0.17</f>
        <v>17785.487442075995</v>
      </c>
      <c r="D6" s="62">
        <f t="shared" ref="D6:E6" si="3">D2*0.17</f>
        <v>16564.645597775721</v>
      </c>
      <c r="E6" s="62">
        <f t="shared" si="3"/>
        <v>17806.68670991659</v>
      </c>
      <c r="F6" s="62">
        <f t="shared" si="2"/>
        <v>20269.569666357736</v>
      </c>
    </row>
    <row r="7" spans="1:8" x14ac:dyDescent="0.2">
      <c r="A7" s="27" t="s">
        <v>31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</row>
    <row r="8" spans="1:8" x14ac:dyDescent="0.2">
      <c r="A8" s="57" t="s">
        <v>49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</row>
    <row r="9" spans="1:8" x14ac:dyDescent="0.2">
      <c r="A9" s="43" t="s">
        <v>37</v>
      </c>
      <c r="B9" s="62">
        <f>B6/12</f>
        <v>1276.883707136237</v>
      </c>
      <c r="C9" s="62">
        <f t="shared" ref="C9:F9" si="4">C6/12</f>
        <v>1482.123953506333</v>
      </c>
      <c r="D9" s="62">
        <f t="shared" ref="D9:E9" si="5">D6/12</f>
        <v>1380.3871331479768</v>
      </c>
      <c r="E9" s="62">
        <f t="shared" si="5"/>
        <v>1483.8905591597158</v>
      </c>
      <c r="F9" s="62">
        <f t="shared" si="4"/>
        <v>1689.1308055298114</v>
      </c>
    </row>
    <row r="10" spans="1:8" x14ac:dyDescent="0.2">
      <c r="A10" s="9" t="s">
        <v>9</v>
      </c>
      <c r="B10" s="9">
        <f>SUM(B2:B5)-SUM(B6:B9)</f>
        <v>81044.559999999983</v>
      </c>
      <c r="C10" s="9">
        <f t="shared" ref="C10:F10" si="6">SUM(C2:C5)-SUM(C6:C9)</f>
        <v>94071.27916666666</v>
      </c>
      <c r="D10" s="9">
        <f t="shared" ref="D10:E10" si="7">SUM(D2:D5)-SUM(D6:D9)</f>
        <v>87613.983333333337</v>
      </c>
      <c r="E10" s="9">
        <f t="shared" si="7"/>
        <v>94183.406666666648</v>
      </c>
      <c r="F10" s="9">
        <f t="shared" si="6"/>
        <v>107210.12583333332</v>
      </c>
    </row>
    <row r="11" spans="1:8" x14ac:dyDescent="0.2">
      <c r="B11" s="9"/>
      <c r="C11" s="9"/>
      <c r="D11" s="9"/>
      <c r="E11" s="9"/>
      <c r="F11" s="9"/>
    </row>
    <row r="12" spans="1:8" x14ac:dyDescent="0.2">
      <c r="A12" s="38" t="s">
        <v>33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</row>
    <row r="13" spans="1:8" x14ac:dyDescent="0.2">
      <c r="A13" s="38" t="s">
        <v>34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</row>
    <row r="14" spans="1:8" x14ac:dyDescent="0.2">
      <c r="B14" s="9"/>
      <c r="C14" s="9"/>
      <c r="D14" s="9"/>
      <c r="E14" s="9"/>
      <c r="F14" s="9"/>
    </row>
    <row r="15" spans="1:8" x14ac:dyDescent="0.2">
      <c r="A15" s="9" t="s">
        <v>10</v>
      </c>
      <c r="B15" s="9">
        <f>B12-B13</f>
        <v>0</v>
      </c>
      <c r="C15" s="9">
        <f t="shared" ref="C15:F15" si="8">C12-C13</f>
        <v>0</v>
      </c>
      <c r="D15" s="9">
        <f t="shared" ref="D15:E15" si="9">D12-D13</f>
        <v>0</v>
      </c>
      <c r="E15" s="9">
        <f t="shared" si="9"/>
        <v>0</v>
      </c>
      <c r="F15" s="9">
        <f t="shared" si="8"/>
        <v>0</v>
      </c>
    </row>
    <row r="17" spans="1:12" x14ac:dyDescent="0.2">
      <c r="A17" s="4" t="s">
        <v>11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</row>
    <row r="18" spans="1:12" x14ac:dyDescent="0.2">
      <c r="A18" s="4" t="s">
        <v>23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</row>
    <row r="19" spans="1:12" x14ac:dyDescent="0.2">
      <c r="A19" s="4" t="s">
        <v>24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</row>
    <row r="20" spans="1:12" x14ac:dyDescent="0.2">
      <c r="A20" s="4" t="s">
        <v>25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</row>
    <row r="21" spans="1:12" x14ac:dyDescent="0.2">
      <c r="A21" s="4" t="s">
        <v>29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</row>
    <row r="22" spans="1:12" x14ac:dyDescent="0.2">
      <c r="A22" s="4" t="s">
        <v>26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</row>
    <row r="23" spans="1:12" x14ac:dyDescent="0.2">
      <c r="A23" s="34" t="s">
        <v>32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</row>
    <row r="24" spans="1:12" s="19" customFormat="1" x14ac:dyDescent="0.2">
      <c r="A24" s="18"/>
      <c r="B24" s="18"/>
      <c r="C24" s="18"/>
      <c r="D24" s="18"/>
      <c r="E24" s="18"/>
      <c r="F24" s="18"/>
    </row>
    <row r="25" spans="1:12" ht="12.75" x14ac:dyDescent="0.25">
      <c r="A25" s="4" t="s">
        <v>13</v>
      </c>
      <c r="B25" s="4">
        <f>$G25</f>
        <v>67071.359999999986</v>
      </c>
      <c r="C25" s="4">
        <f>$G25</f>
        <v>67071.359999999986</v>
      </c>
      <c r="D25" s="4">
        <f>$G25</f>
        <v>67071.359999999986</v>
      </c>
      <c r="E25" s="4">
        <f>$G25</f>
        <v>67071.359999999986</v>
      </c>
      <c r="F25" s="4">
        <f>$G25</f>
        <v>67071.359999999986</v>
      </c>
      <c r="G25" s="32">
        <f>G26*4.8</f>
        <v>67071.359999999986</v>
      </c>
      <c r="H25" s="32">
        <f>H26*4.8+0.02</f>
        <v>804856.34</v>
      </c>
      <c r="I25" s="3"/>
    </row>
    <row r="26" spans="1:12" ht="12.75" x14ac:dyDescent="0.25">
      <c r="A26" s="4" t="s">
        <v>12</v>
      </c>
      <c r="B26" s="4">
        <f>$B25/4.8</f>
        <v>13973.199999999997</v>
      </c>
      <c r="C26" s="4">
        <f t="shared" ref="C26:F26" si="10">$B25/4.8</f>
        <v>13973.199999999997</v>
      </c>
      <c r="D26" s="4">
        <f t="shared" ref="D26:E26" si="11">$B25/4.8</f>
        <v>13973.199999999997</v>
      </c>
      <c r="E26" s="4">
        <f t="shared" si="11"/>
        <v>13973.199999999997</v>
      </c>
      <c r="F26" s="4">
        <f t="shared" si="10"/>
        <v>13973.199999999997</v>
      </c>
      <c r="G26" s="32">
        <f>H26/12</f>
        <v>13973.199999999999</v>
      </c>
      <c r="H26" s="32">
        <v>167678.39999999999</v>
      </c>
      <c r="I26" s="76"/>
      <c r="L26" s="73"/>
    </row>
    <row r="27" spans="1:12" ht="12.75" x14ac:dyDescent="0.25">
      <c r="A27" s="18"/>
      <c r="B27" s="19"/>
      <c r="C27" s="19"/>
      <c r="D27" s="19"/>
      <c r="E27" s="19"/>
      <c r="F27" s="19"/>
      <c r="G27" s="32"/>
      <c r="H27" s="85"/>
    </row>
    <row r="28" spans="1:12" ht="12.75" x14ac:dyDescent="0.25">
      <c r="A28" s="4" t="s">
        <v>20</v>
      </c>
      <c r="B28" s="4">
        <f>$G28*B37</f>
        <v>0</v>
      </c>
      <c r="C28" s="4">
        <f t="shared" ref="C28:F28" si="12">$G28*C37</f>
        <v>13026.719166666668</v>
      </c>
      <c r="D28" s="4">
        <f>$G28*D37</f>
        <v>0</v>
      </c>
      <c r="E28" s="4">
        <f>$G28*E37</f>
        <v>0</v>
      </c>
      <c r="F28" s="4">
        <f t="shared" si="12"/>
        <v>13026.719166666668</v>
      </c>
      <c r="G28" s="32">
        <f>H28/12</f>
        <v>13026.719166666668</v>
      </c>
      <c r="H28" s="32">
        <v>156320.63</v>
      </c>
      <c r="I28" s="77"/>
      <c r="L28" s="73"/>
    </row>
    <row r="29" spans="1:12" ht="12.75" x14ac:dyDescent="0.25">
      <c r="A29" s="4" t="s">
        <v>21</v>
      </c>
      <c r="B29" s="4">
        <f>$G29*B38</f>
        <v>0</v>
      </c>
      <c r="C29" s="4">
        <f t="shared" ref="C29:F29" si="13">$G29*C38</f>
        <v>0</v>
      </c>
      <c r="D29" s="4">
        <f>$G29*D38</f>
        <v>6569.4233333333332</v>
      </c>
      <c r="E29" s="4">
        <f>$G29*E38</f>
        <v>13138.846666666666</v>
      </c>
      <c r="F29" s="4">
        <f t="shared" si="13"/>
        <v>13138.846666666666</v>
      </c>
      <c r="G29" s="32">
        <f>H29/12</f>
        <v>6569.4233333333332</v>
      </c>
      <c r="H29" s="78">
        <v>78833.08</v>
      </c>
      <c r="I29" s="60"/>
      <c r="L29" s="73"/>
    </row>
    <row r="30" spans="1:12" x14ac:dyDescent="0.2">
      <c r="B30" s="4"/>
      <c r="C30" s="4"/>
      <c r="D30" s="4"/>
      <c r="E30" s="4"/>
      <c r="F30" s="4"/>
    </row>
    <row r="31" spans="1:12" x14ac:dyDescent="0.2">
      <c r="B31" s="9">
        <f t="shared" ref="B31" si="14">SUM(B17:B30)</f>
        <v>81044.559999999983</v>
      </c>
      <c r="C31" s="9">
        <f t="shared" ref="C31:F31" si="15">SUM(C17:C30)</f>
        <v>94071.279166666645</v>
      </c>
      <c r="D31" s="9">
        <f t="shared" ref="D31:E31" si="16">SUM(D17:D30)</f>
        <v>87613.983333333323</v>
      </c>
      <c r="E31" s="9">
        <f t="shared" si="16"/>
        <v>94183.406666666648</v>
      </c>
      <c r="F31" s="9">
        <f t="shared" si="15"/>
        <v>107210.12583333331</v>
      </c>
    </row>
    <row r="32" spans="1:12" x14ac:dyDescent="0.2">
      <c r="B32" s="4"/>
      <c r="C32" s="4"/>
      <c r="D32" s="4"/>
      <c r="E32" s="4"/>
      <c r="F32" s="4"/>
    </row>
    <row r="34" spans="1:6" x14ac:dyDescent="0.2">
      <c r="B34" s="40">
        <f>B10-B31</f>
        <v>0</v>
      </c>
      <c r="C34" s="40">
        <f t="shared" ref="C34:F34" si="17">C10-C31</f>
        <v>0</v>
      </c>
      <c r="D34" s="40">
        <f t="shared" ref="D34:E34" si="18">D10-D31</f>
        <v>0</v>
      </c>
      <c r="E34" s="40">
        <f t="shared" si="18"/>
        <v>0</v>
      </c>
      <c r="F34" s="40">
        <f t="shared" si="17"/>
        <v>0</v>
      </c>
    </row>
    <row r="35" spans="1:6" x14ac:dyDescent="0.2">
      <c r="A35" s="68" t="s">
        <v>46</v>
      </c>
      <c r="B35" s="41">
        <f>VLOOKUP(B34,Tablas!$A$13:$D$22,3)+(B34-VLOOKUP(B34,Tablas!$A$13:$D$22,1))*VLOOKUP(B34,Tablas!$A$13:$D$22,4)</f>
        <v>0</v>
      </c>
      <c r="C35" s="41">
        <f>VLOOKUP(C34,Tablas!$A$13:$D$22,3)+(C34-VLOOKUP(C34,Tablas!$A$13:$D$22,1))*VLOOKUP(C34,Tablas!$A$13:$D$22,4)</f>
        <v>0</v>
      </c>
      <c r="D35" s="41">
        <f>VLOOKUP(D34,Tablas!$A$13:$D$22,3)+(D34-VLOOKUP(D34,Tablas!$A$13:$D$22,1))*VLOOKUP(D34,Tablas!$A$13:$D$22,4)</f>
        <v>0</v>
      </c>
      <c r="E35" s="41">
        <f>VLOOKUP(E34,Tablas!$A$13:$D$22,3)+(E34-VLOOKUP(E34,Tablas!$A$13:$D$22,1))*VLOOKUP(E34,Tablas!$A$13:$D$22,4)</f>
        <v>0</v>
      </c>
      <c r="F35" s="41">
        <f>VLOOKUP(F34,Tablas!$A$13:$D$22,3)+(F34-VLOOKUP(F34,Tablas!$A$13:$D$22,1))*VLOOKUP(F34,Tablas!$A$13:$D$22,4)</f>
        <v>0</v>
      </c>
    </row>
    <row r="36" spans="1:6" x14ac:dyDescent="0.2">
      <c r="A36" s="31"/>
      <c r="B36" s="59"/>
      <c r="C36" s="59"/>
      <c r="D36" s="59"/>
      <c r="E36" s="59"/>
      <c r="F36" s="59"/>
    </row>
    <row r="37" spans="1:6" x14ac:dyDescent="0.2">
      <c r="A37" s="31" t="s">
        <v>20</v>
      </c>
      <c r="B37" s="33">
        <v>0</v>
      </c>
      <c r="C37" s="33">
        <v>1</v>
      </c>
      <c r="D37" s="33">
        <v>0</v>
      </c>
      <c r="E37" s="33">
        <v>0</v>
      </c>
      <c r="F37" s="33">
        <v>1</v>
      </c>
    </row>
    <row r="38" spans="1:6" x14ac:dyDescent="0.2">
      <c r="A38" s="31" t="s">
        <v>21</v>
      </c>
      <c r="B38" s="33">
        <v>0</v>
      </c>
      <c r="C38" s="33">
        <v>0</v>
      </c>
      <c r="D38" s="33">
        <v>1</v>
      </c>
      <c r="E38" s="33">
        <v>2</v>
      </c>
      <c r="F38" s="33">
        <v>2</v>
      </c>
    </row>
    <row r="39" spans="1:6" x14ac:dyDescent="0.2">
      <c r="B39" s="64"/>
      <c r="C39" s="64"/>
      <c r="D39" s="64"/>
      <c r="E39" s="64"/>
      <c r="F39" s="64"/>
    </row>
    <row r="40" spans="1:6" x14ac:dyDescent="0.2">
      <c r="A40" s="65"/>
      <c r="B40" s="67"/>
      <c r="C40" s="67"/>
      <c r="D40" s="67"/>
      <c r="E40" s="67"/>
      <c r="F40" s="67"/>
    </row>
    <row r="41" spans="1:6" ht="12.75" x14ac:dyDescent="0.25">
      <c r="A41" s="32" t="s">
        <v>9</v>
      </c>
      <c r="B41" s="32">
        <f>B2*0.83</f>
        <v>74810.363076923066</v>
      </c>
      <c r="C41" s="32">
        <f t="shared" ref="C41:F41" si="19">C2*0.83</f>
        <v>86835.026923076904</v>
      </c>
      <c r="D41" s="32">
        <f t="shared" si="19"/>
        <v>80874.446153846147</v>
      </c>
      <c r="E41" s="32">
        <f t="shared" si="19"/>
        <v>86938.529230769214</v>
      </c>
      <c r="F41" s="32">
        <f t="shared" si="19"/>
        <v>98963.193076923053</v>
      </c>
    </row>
    <row r="42" spans="1:6" x14ac:dyDescent="0.2">
      <c r="A42" s="65"/>
      <c r="B42" s="67"/>
      <c r="C42" s="67"/>
      <c r="D42" s="67"/>
      <c r="E42" s="67"/>
      <c r="F42" s="67"/>
    </row>
    <row r="43" spans="1:6" x14ac:dyDescent="0.2">
      <c r="A43" s="65"/>
      <c r="B43" s="67"/>
      <c r="C43" s="67"/>
      <c r="D43" s="67"/>
      <c r="E43" s="67"/>
      <c r="F43" s="67"/>
    </row>
    <row r="44" spans="1:6" x14ac:dyDescent="0.2">
      <c r="A44" s="65"/>
      <c r="B44" s="65"/>
      <c r="C44" s="65"/>
      <c r="D44" s="65"/>
      <c r="E44" s="65"/>
      <c r="F44" s="65"/>
    </row>
    <row r="45" spans="1:6" x14ac:dyDescent="0.2">
      <c r="A45" s="65"/>
      <c r="B45" s="65"/>
      <c r="C45" s="65"/>
      <c r="D45" s="65"/>
      <c r="E45" s="65"/>
      <c r="F45" s="65"/>
    </row>
    <row r="46" spans="1:6" x14ac:dyDescent="0.2">
      <c r="A46" s="65"/>
      <c r="B46" s="65"/>
      <c r="C46" s="65"/>
      <c r="D46" s="65"/>
      <c r="E46" s="65"/>
      <c r="F46" s="65"/>
    </row>
  </sheetData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58CA-8A3B-4742-A318-569794C4BE1C}">
  <sheetPr>
    <pageSetUpPr fitToPage="1"/>
  </sheetPr>
  <dimension ref="A1:S87"/>
  <sheetViews>
    <sheetView tabSelected="1" zoomScaleNormal="100" workbookViewId="0">
      <pane xSplit="1" ySplit="2" topLeftCell="B3" activePane="bottomRight" state="frozen"/>
      <selection activeCell="J4" sqref="J4"/>
      <selection pane="topRight" activeCell="J4" sqref="J4"/>
      <selection pane="bottomLeft" activeCell="J4" sqref="J4"/>
      <selection pane="bottomRight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4"/>
      <c r="P1" s="64"/>
      <c r="Q1" s="64"/>
      <c r="S1" s="64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14</v>
      </c>
      <c r="I2" s="6" t="s">
        <v>15</v>
      </c>
      <c r="J2" s="14" t="s">
        <v>16</v>
      </c>
      <c r="K2" s="14" t="s">
        <v>17</v>
      </c>
      <c r="L2" s="14" t="s">
        <v>18</v>
      </c>
      <c r="M2" s="14" t="s">
        <v>19</v>
      </c>
      <c r="N2" s="7" t="s">
        <v>27</v>
      </c>
    </row>
    <row r="3" spans="1:19" x14ac:dyDescent="0.2">
      <c r="A3" s="4" t="s">
        <v>7</v>
      </c>
      <c r="B3" s="79">
        <v>140000</v>
      </c>
      <c r="C3" s="79">
        <v>140000</v>
      </c>
      <c r="D3" s="79">
        <v>140000</v>
      </c>
      <c r="E3" s="79">
        <v>145000</v>
      </c>
      <c r="F3" s="79">
        <v>145000</v>
      </c>
      <c r="G3" s="79">
        <v>155000</v>
      </c>
      <c r="H3" s="79">
        <v>160000</v>
      </c>
      <c r="I3" s="79">
        <v>145000</v>
      </c>
      <c r="J3" s="79">
        <v>170000</v>
      </c>
      <c r="K3" s="79">
        <v>200000</v>
      </c>
      <c r="L3" s="79">
        <f t="shared" ref="L3:M3" si="0">K3</f>
        <v>200000</v>
      </c>
      <c r="M3" s="79">
        <f t="shared" si="0"/>
        <v>200000</v>
      </c>
      <c r="N3" s="8">
        <f>SUM(B3:M3)</f>
        <v>1940000</v>
      </c>
      <c r="O3" s="3"/>
      <c r="P3" s="3"/>
      <c r="Q3" s="64"/>
    </row>
    <row r="4" spans="1:19" x14ac:dyDescent="0.2">
      <c r="A4" s="95" t="s">
        <v>58</v>
      </c>
      <c r="B4" s="79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8">
        <f t="shared" ref="N4:N39" si="1">SUM(B4:M4)</f>
        <v>0</v>
      </c>
      <c r="P4" s="73"/>
    </row>
    <row r="5" spans="1:19" x14ac:dyDescent="0.2">
      <c r="A5" s="42" t="s">
        <v>36</v>
      </c>
      <c r="B5" s="58">
        <f>B3/12</f>
        <v>11666.666666666666</v>
      </c>
      <c r="C5" s="58">
        <f>C3/12</f>
        <v>11666.666666666666</v>
      </c>
      <c r="D5" s="58">
        <f>D3/12</f>
        <v>11666.666666666666</v>
      </c>
      <c r="E5" s="58">
        <f>E3/12</f>
        <v>12083.333333333334</v>
      </c>
      <c r="F5" s="58">
        <f>F3/12</f>
        <v>12083.333333333334</v>
      </c>
      <c r="G5" s="120">
        <f>-SUM(B5:F5)</f>
        <v>-59166.666666666672</v>
      </c>
      <c r="H5" s="58">
        <f t="shared" ref="H5:L6" si="2">H3/12</f>
        <v>13333.333333333334</v>
      </c>
      <c r="I5" s="58">
        <f t="shared" si="2"/>
        <v>12083.333333333334</v>
      </c>
      <c r="J5" s="58">
        <f t="shared" si="2"/>
        <v>14166.666666666666</v>
      </c>
      <c r="K5" s="58">
        <f t="shared" si="2"/>
        <v>16666.666666666668</v>
      </c>
      <c r="L5" s="58">
        <f t="shared" si="2"/>
        <v>16666.666666666668</v>
      </c>
      <c r="M5" s="120">
        <f>-SUM(H5:L5)</f>
        <v>-72916.666666666672</v>
      </c>
      <c r="N5" s="8">
        <f t="shared" si="1"/>
        <v>0</v>
      </c>
    </row>
    <row r="6" spans="1:19" x14ac:dyDescent="0.2">
      <c r="A6" s="122" t="s">
        <v>86</v>
      </c>
      <c r="B6" s="58"/>
      <c r="C6" s="58"/>
      <c r="D6" s="58"/>
      <c r="E6" s="58"/>
      <c r="F6" s="58"/>
      <c r="G6" s="120">
        <f>MAX(B3:G3)/2</f>
        <v>77500</v>
      </c>
      <c r="H6" s="58">
        <f t="shared" si="2"/>
        <v>0</v>
      </c>
      <c r="I6" s="58">
        <f t="shared" si="2"/>
        <v>0</v>
      </c>
      <c r="J6" s="58">
        <f t="shared" si="2"/>
        <v>0</v>
      </c>
      <c r="K6" s="58">
        <f t="shared" si="2"/>
        <v>0</v>
      </c>
      <c r="L6" s="58">
        <f t="shared" si="2"/>
        <v>0</v>
      </c>
      <c r="M6" s="120">
        <f>MAX(H3:M3)/2</f>
        <v>100000</v>
      </c>
      <c r="N6" s="8">
        <f t="shared" si="1"/>
        <v>177500</v>
      </c>
    </row>
    <row r="7" spans="1:19" s="89" customFormat="1" x14ac:dyDescent="0.2">
      <c r="A7" s="87" t="s">
        <v>87</v>
      </c>
      <c r="B7" s="117"/>
      <c r="C7" s="117"/>
      <c r="D7" s="117"/>
      <c r="E7" s="117"/>
      <c r="F7" s="117"/>
      <c r="G7" s="121">
        <f>IF(G76&lt;=150000,-G6,0)</f>
        <v>0</v>
      </c>
      <c r="H7" s="117"/>
      <c r="I7" s="117"/>
      <c r="J7" s="117"/>
      <c r="K7" s="117"/>
      <c r="L7" s="117"/>
      <c r="M7" s="121">
        <f>IF(M76&lt;=175000,-M6,0)</f>
        <v>0</v>
      </c>
      <c r="N7" s="88">
        <f t="shared" si="1"/>
        <v>0</v>
      </c>
      <c r="P7" s="90"/>
      <c r="Q7" s="90"/>
    </row>
    <row r="8" spans="1:19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9" x14ac:dyDescent="0.2">
      <c r="A9" s="95" t="s">
        <v>61</v>
      </c>
      <c r="B9" s="58">
        <f t="shared" ref="B9:M9" si="3">B3*(0.17+$B$72)</f>
        <v>23800</v>
      </c>
      <c r="C9" s="58">
        <f t="shared" si="3"/>
        <v>23800</v>
      </c>
      <c r="D9" s="58">
        <f t="shared" si="3"/>
        <v>23800</v>
      </c>
      <c r="E9" s="58">
        <f t="shared" si="3"/>
        <v>24650</v>
      </c>
      <c r="F9" s="58">
        <f t="shared" si="3"/>
        <v>24650</v>
      </c>
      <c r="G9" s="58">
        <f t="shared" si="3"/>
        <v>26350.000000000004</v>
      </c>
      <c r="H9" s="58">
        <f t="shared" si="3"/>
        <v>27200.000000000004</v>
      </c>
      <c r="I9" s="58">
        <f t="shared" si="3"/>
        <v>24650</v>
      </c>
      <c r="J9" s="58">
        <f t="shared" si="3"/>
        <v>28900.000000000004</v>
      </c>
      <c r="K9" s="58">
        <f t="shared" si="3"/>
        <v>34000</v>
      </c>
      <c r="L9" s="58">
        <f t="shared" si="3"/>
        <v>34000</v>
      </c>
      <c r="M9" s="58">
        <f t="shared" si="3"/>
        <v>34000</v>
      </c>
      <c r="N9" s="8">
        <f t="shared" si="1"/>
        <v>329800</v>
      </c>
    </row>
    <row r="10" spans="1:19" x14ac:dyDescent="0.2">
      <c r="A10" s="43" t="s">
        <v>37</v>
      </c>
      <c r="B10" s="80">
        <f>B9/12</f>
        <v>1983.3333333333333</v>
      </c>
      <c r="C10" s="80">
        <f t="shared" ref="C10:M10" si="4">C9/12</f>
        <v>1983.3333333333333</v>
      </c>
      <c r="D10" s="80">
        <f t="shared" si="4"/>
        <v>1983.3333333333333</v>
      </c>
      <c r="E10" s="80">
        <f t="shared" si="4"/>
        <v>2054.1666666666665</v>
      </c>
      <c r="F10" s="80">
        <f t="shared" si="4"/>
        <v>2054.1666666666665</v>
      </c>
      <c r="G10" s="80">
        <f t="shared" si="4"/>
        <v>2195.8333333333335</v>
      </c>
      <c r="H10" s="80">
        <f t="shared" si="4"/>
        <v>2266.666666666667</v>
      </c>
      <c r="I10" s="80">
        <f t="shared" si="4"/>
        <v>2054.1666666666665</v>
      </c>
      <c r="J10" s="80">
        <f t="shared" si="4"/>
        <v>2408.3333333333335</v>
      </c>
      <c r="K10" s="80">
        <f t="shared" si="4"/>
        <v>2833.3333333333335</v>
      </c>
      <c r="L10" s="80">
        <f t="shared" si="4"/>
        <v>2833.3333333333335</v>
      </c>
      <c r="M10" s="80">
        <f t="shared" si="4"/>
        <v>2833.3333333333335</v>
      </c>
      <c r="N10" s="8">
        <f t="shared" si="1"/>
        <v>27483.333333333328</v>
      </c>
    </row>
    <row r="11" spans="1:19" x14ac:dyDescent="0.2">
      <c r="A11" s="9" t="s">
        <v>9</v>
      </c>
      <c r="B11" s="9">
        <f>SUM(B3:B6)-SUM(B9:B10)</f>
        <v>125883.33333333333</v>
      </c>
      <c r="C11" s="9">
        <f t="shared" ref="C11:M11" si="5">SUM(C3:C6)-SUM(C9:C10)</f>
        <v>125883.33333333333</v>
      </c>
      <c r="D11" s="9">
        <f t="shared" si="5"/>
        <v>125883.33333333333</v>
      </c>
      <c r="E11" s="9">
        <f t="shared" si="5"/>
        <v>130379.16666666667</v>
      </c>
      <c r="F11" s="9">
        <f t="shared" si="5"/>
        <v>130379.16666666667</v>
      </c>
      <c r="G11" s="9">
        <f t="shared" si="5"/>
        <v>144787.49999999997</v>
      </c>
      <c r="H11" s="9">
        <f t="shared" si="5"/>
        <v>143866.66666666669</v>
      </c>
      <c r="I11" s="9">
        <f t="shared" si="5"/>
        <v>130379.16666666667</v>
      </c>
      <c r="J11" s="9">
        <f t="shared" si="5"/>
        <v>152858.33333333331</v>
      </c>
      <c r="K11" s="9">
        <f t="shared" si="5"/>
        <v>179833.33333333331</v>
      </c>
      <c r="L11" s="9">
        <f t="shared" si="5"/>
        <v>179833.33333333331</v>
      </c>
      <c r="M11" s="9">
        <f t="shared" si="5"/>
        <v>190249.99999999997</v>
      </c>
      <c r="N11" s="10">
        <f t="shared" si="1"/>
        <v>1760216.6666666665</v>
      </c>
    </row>
    <row r="12" spans="1:19" x14ac:dyDescent="0.2">
      <c r="B12" s="9"/>
      <c r="C12" s="64"/>
      <c r="D12" s="64"/>
      <c r="H12" s="9"/>
    </row>
    <row r="13" spans="1:19" x14ac:dyDescent="0.2">
      <c r="A13" s="38" t="s">
        <v>33</v>
      </c>
      <c r="B13" s="4">
        <f>IF(COUNTIF(C$63:$M$63,"A")&gt;0,0,SUM($B64:B65)/IF(B$63="x",1,(COUNTA(B$2:$M$2))))</f>
        <v>1088.8888888888889</v>
      </c>
      <c r="C13" s="4">
        <f>IF(COUNTIF(D$63:$M$63,"A")&gt;0,0,(SUM($B64:C65)-SUM($B13:B13))/IF(C$63="x",1,COUNTA(C$2:$M$2)))</f>
        <v>1088.8888888888889</v>
      </c>
      <c r="D13" s="4">
        <f>IF(COUNTIF(E$63:$M$63,"A")&gt;0,0,(SUM($B64:D65)-SUM($B13:C13))/IF(D$63="x",1,COUNTA(D$2:$M$2)))</f>
        <v>11088.888888888889</v>
      </c>
      <c r="E13" s="4">
        <f>IF(COUNTIF(F$63:$M$63,"A")&gt;0,0,(SUM($B64:E65)-SUM($B13:D13))/IF(E$63="x",1,COUNTA(E$2:$M$2)))</f>
        <v>11088.888888888889</v>
      </c>
      <c r="F13" s="4">
        <f>IF(COUNTIF(G$63:$M$63,"A")&gt;0,0,(SUM($B64:F65)-SUM($B13:E13))/IF(F$63="x",1,COUNTA(F$2:$M$2)))</f>
        <v>11088.888888888891</v>
      </c>
      <c r="G13" s="4">
        <f>IF(COUNTIF(H$63:$M$63,"A")&gt;0,0,(SUM($B64:G65)-SUM($B13:F13))/IF(G$63="x",1,COUNTA(G$2:$M$2)))</f>
        <v>11088.888888888889</v>
      </c>
      <c r="H13" s="4">
        <f>IF(COUNTIF(I$63:$M$63,"A")&gt;0,0,(SUM($B64:H65)-SUM($B13:G13))/IF(H$63="x",1,COUNTA(H$2:$M$2)))</f>
        <v>11088.888888888891</v>
      </c>
      <c r="I13" s="4">
        <f>IF(COUNTIF(J$63:$M$63,"A")&gt;0,0,(SUM($B64:I65)-SUM($B13:H13))/IF(I$63="x",1,COUNTA(I$2:$M$2)))</f>
        <v>11088.888888888889</v>
      </c>
      <c r="J13" s="4">
        <f>IF(COUNTIF(K$63:$M$63,"A")&gt;0,0,(SUM($B64:J65)-SUM($B13:I13))/IF(J$63="x",1,COUNTA(J$2:$M$2)))</f>
        <v>11088.888888888891</v>
      </c>
      <c r="K13" s="4">
        <f>IF(COUNTIF(L$63:$M$63,"A")&gt;0,0,(SUM($B64:K65)-SUM($B13:J13))/IF(K$63="x",1,COUNTA(K$2:$M$2)))</f>
        <v>11088.888888888891</v>
      </c>
      <c r="L13" s="4">
        <f>IF(COUNTIF(M$63:$M$63,"A")&gt;0,0,(SUM($B64:L65)-SUM($B13:K13))/IF(L$63="x",1,COUNTA(L$2:$M$2)))</f>
        <v>11088.888888888891</v>
      </c>
      <c r="M13" s="4">
        <f>IF(COUNTIF($M$63:N$63,"A")&gt;0,0,(SUM($B64:M65)-SUM($B13:L13))/IF(M$63="x",1,COUNTA(M$2:$M$2)))</f>
        <v>11088.888888888891</v>
      </c>
      <c r="N13" s="8">
        <f t="shared" si="1"/>
        <v>113066.66666666667</v>
      </c>
    </row>
    <row r="14" spans="1:19" x14ac:dyDescent="0.2">
      <c r="A14" s="38" t="s">
        <v>34</v>
      </c>
      <c r="B14" s="4">
        <f>IF(COUNTIF(C$63:$M$63,"A")&gt;0,0,SUM($B66:B67)/IF(B$63="x",1,(COUNTA(B$2:$M$2))))</f>
        <v>185.11111111111111</v>
      </c>
      <c r="C14" s="4">
        <f>IF(COUNTIF(D$63:$M$63,"A")&gt;0,0,(SUM($B66:C67)-SUM($B14:B14))/IF(C$63="x",1,COUNTA(C$2:$M$2)))</f>
        <v>185.11111111111111</v>
      </c>
      <c r="D14" s="4">
        <f>IF(COUNTIF(E$63:$M$63,"A")&gt;0,0,(SUM($B66:D67)-SUM($B14:C14))/IF(D$63="x",1,COUNTA(D$2:$M$2)))</f>
        <v>1885.1111111111109</v>
      </c>
      <c r="E14" s="4">
        <f>IF(COUNTIF(F$63:$M$63,"A")&gt;0,0,(SUM($B66:E67)-SUM($B14:D14))/IF(E$63="x",1,COUNTA(E$2:$M$2)))</f>
        <v>1885.1111111111111</v>
      </c>
      <c r="F14" s="4">
        <f>IF(COUNTIF(G$63:$M$63,"A")&gt;0,0,(SUM($B66:F67)-SUM($B14:E14))/IF(F$63="x",1,COUNTA(F$2:$M$2)))</f>
        <v>1885.1111111111109</v>
      </c>
      <c r="G14" s="4">
        <f>IF(COUNTIF(H$63:$M$63,"A")&gt;0,0,(SUM($B66:G67)-SUM($B14:F14))/IF(G$63="x",1,COUNTA(G$2:$M$2)))</f>
        <v>1885.1111111111111</v>
      </c>
      <c r="H14" s="4">
        <f>IF(COUNTIF(I$63:$M$63,"A")&gt;0,0,(SUM($B66:H67)-SUM($B14:G14))/IF(H$63="x",1,COUNTA(H$2:$M$2)))</f>
        <v>1885.1111111111111</v>
      </c>
      <c r="I14" s="4">
        <f>IF(COUNTIF(J$63:$M$63,"A")&gt;0,0,(SUM($B66:I67)-SUM($B14:H14))/IF(I$63="x",1,COUNTA(I$2:$M$2)))</f>
        <v>1885.1111111111109</v>
      </c>
      <c r="J14" s="4">
        <f>IF(COUNTIF(K$63:$M$63,"A")&gt;0,0,(SUM($B66:J67)-SUM($B14:I14))/IF(J$63="x",1,COUNTA(J$2:$M$2)))</f>
        <v>1885.1111111111109</v>
      </c>
      <c r="K14" s="4">
        <f>IF(COUNTIF(L$63:$M$63,"A")&gt;0,0,(SUM($B66:K67)-SUM($B14:J14))/IF(K$63="x",1,COUNTA(K$2:$M$2)))</f>
        <v>1885.1111111111106</v>
      </c>
      <c r="L14" s="4">
        <f>IF(COUNTIF(M$63:$M$63,"A")&gt;0,0,(SUM($B66:L67)-SUM($B14:K14))/IF(L$63="x",1,COUNTA(L$2:$M$2)))</f>
        <v>1885.1111111111104</v>
      </c>
      <c r="M14" s="4">
        <f>IF(COUNTIF($M$63:N$63,"A")&gt;0,0,(SUM($B66:M67)-SUM($B14:L14))/IF(M$63="x",1,COUNTA(M$2:$M$2)))</f>
        <v>1885.1111111111095</v>
      </c>
      <c r="N14" s="8">
        <f t="shared" si="1"/>
        <v>19221.333333333332</v>
      </c>
    </row>
    <row r="15" spans="1:19" x14ac:dyDescent="0.2">
      <c r="B15" s="9"/>
      <c r="D15" s="64"/>
      <c r="G15" s="64"/>
      <c r="H15" s="9"/>
      <c r="J15" s="5"/>
      <c r="K15" s="5"/>
      <c r="L15" s="5"/>
      <c r="M15" s="5"/>
    </row>
    <row r="16" spans="1:19" x14ac:dyDescent="0.2">
      <c r="A16" s="9" t="s">
        <v>10</v>
      </c>
      <c r="B16" s="9">
        <f>B13-B14</f>
        <v>903.77777777777783</v>
      </c>
      <c r="C16" s="9">
        <f t="shared" ref="C16:M16" si="6">C13-C14</f>
        <v>903.77777777777783</v>
      </c>
      <c r="D16" s="9">
        <f t="shared" si="6"/>
        <v>9203.7777777777774</v>
      </c>
      <c r="E16" s="9">
        <f t="shared" si="6"/>
        <v>9203.7777777777774</v>
      </c>
      <c r="F16" s="9">
        <f t="shared" si="6"/>
        <v>9203.7777777777792</v>
      </c>
      <c r="G16" s="9">
        <f t="shared" si="6"/>
        <v>9203.7777777777774</v>
      </c>
      <c r="H16" s="9">
        <f t="shared" si="6"/>
        <v>9203.7777777777792</v>
      </c>
      <c r="I16" s="9">
        <f t="shared" si="6"/>
        <v>9203.7777777777774</v>
      </c>
      <c r="J16" s="9">
        <f t="shared" si="6"/>
        <v>9203.7777777777792</v>
      </c>
      <c r="K16" s="9">
        <f t="shared" si="6"/>
        <v>9203.7777777777792</v>
      </c>
      <c r="L16" s="9">
        <f t="shared" si="6"/>
        <v>9203.777777777781</v>
      </c>
      <c r="M16" s="9">
        <f t="shared" si="6"/>
        <v>9203.777777777781</v>
      </c>
      <c r="N16" s="10">
        <f t="shared" si="1"/>
        <v>93845.333333333358</v>
      </c>
    </row>
    <row r="17" spans="1:19" x14ac:dyDescent="0.2">
      <c r="E17" s="3"/>
      <c r="H17" s="5"/>
    </row>
    <row r="18" spans="1:19" x14ac:dyDescent="0.2">
      <c r="A18" s="4" t="s">
        <v>11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8">
        <f t="shared" si="1"/>
        <v>0</v>
      </c>
      <c r="P18" s="74"/>
      <c r="Q18" s="74"/>
    </row>
    <row r="19" spans="1:19" x14ac:dyDescent="0.2">
      <c r="A19" s="4" t="s">
        <v>23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8">
        <f t="shared" si="1"/>
        <v>0</v>
      </c>
      <c r="P19" s="74"/>
      <c r="Q19" s="74"/>
    </row>
    <row r="20" spans="1:19" x14ac:dyDescent="0.2">
      <c r="A20" s="4" t="s">
        <v>24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8">
        <f t="shared" si="1"/>
        <v>0</v>
      </c>
      <c r="P20" s="74"/>
      <c r="Q20" s="74"/>
    </row>
    <row r="21" spans="1:19" x14ac:dyDescent="0.2">
      <c r="A21" s="95" t="s">
        <v>65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8">
        <f t="shared" si="1"/>
        <v>0</v>
      </c>
      <c r="P21" s="74"/>
      <c r="Q21" s="74"/>
    </row>
    <row r="22" spans="1:19" x14ac:dyDescent="0.2">
      <c r="A22" s="4" t="s">
        <v>29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f t="shared" si="1"/>
        <v>0</v>
      </c>
      <c r="P22" s="74"/>
      <c r="Q22" s="74"/>
    </row>
    <row r="23" spans="1:19" x14ac:dyDescent="0.2">
      <c r="A23" s="94" t="s">
        <v>57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8">
        <f t="shared" si="1"/>
        <v>0</v>
      </c>
      <c r="P23" s="74"/>
      <c r="Q23" s="74"/>
    </row>
    <row r="24" spans="1:19" x14ac:dyDescent="0.2">
      <c r="A24" s="95" t="s">
        <v>66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8">
        <f t="shared" si="1"/>
        <v>0</v>
      </c>
      <c r="P24" s="74"/>
      <c r="Q24" s="74"/>
    </row>
    <row r="25" spans="1:19" x14ac:dyDescent="0.2">
      <c r="A25" s="95" t="s">
        <v>59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8">
        <f t="shared" si="1"/>
        <v>0</v>
      </c>
      <c r="P25" s="74"/>
      <c r="Q25" s="74"/>
    </row>
    <row r="26" spans="1:19" x14ac:dyDescent="0.2">
      <c r="A26" s="84" t="s">
        <v>55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8">
        <f t="shared" si="1"/>
        <v>0</v>
      </c>
      <c r="P26" s="74"/>
      <c r="Q26" s="74"/>
    </row>
    <row r="27" spans="1:19" x14ac:dyDescent="0.2">
      <c r="A27" s="95" t="s">
        <v>67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8">
        <f t="shared" si="1"/>
        <v>0</v>
      </c>
      <c r="P27" s="74"/>
      <c r="Q27" s="74"/>
    </row>
    <row r="28" spans="1:19" s="19" customFormat="1" x14ac:dyDescent="0.2">
      <c r="A28" s="18"/>
      <c r="B28" s="18"/>
      <c r="G28" s="66"/>
      <c r="H28" s="20"/>
      <c r="J28" s="21"/>
      <c r="K28" s="21"/>
      <c r="L28" s="21"/>
      <c r="M28" s="21"/>
      <c r="P28" s="74"/>
      <c r="Q28" s="74"/>
    </row>
    <row r="29" spans="1:19" s="89" customFormat="1" x14ac:dyDescent="0.2">
      <c r="A29" s="87" t="s">
        <v>68</v>
      </c>
      <c r="B29" s="117"/>
      <c r="C29" s="117"/>
      <c r="D29" s="117"/>
      <c r="E29" s="117"/>
      <c r="F29" s="117"/>
      <c r="G29" s="121">
        <f>IF(G77&lt;150000, MAX(0,G11+G16-SUM(G18:G27,G32:G33)),0)+G80+G7</f>
        <v>123402.78000000004</v>
      </c>
      <c r="H29" s="118">
        <f>IF(H77&lt;150000, MAX(0,H11+H16-SUM(H18:H27,H32:H37)),0)</f>
        <v>0</v>
      </c>
      <c r="I29" s="118">
        <f>IF(I77&lt;150000, MAX(0,I11+I16-SUM(I18:I27,I32:I37)),0)</f>
        <v>45399.53777777779</v>
      </c>
      <c r="J29" s="118">
        <f>IF(J77&lt;175000, MAX(0,J11+J16-SUM(J18:J27,J32:J37)),0)</f>
        <v>67878.704444444447</v>
      </c>
      <c r="K29" s="118">
        <f>IF(K77&lt;175000, MAX(0,K11+K16-SUM(K18:K27,K32:K37)),0)</f>
        <v>0</v>
      </c>
      <c r="L29" s="118">
        <f>IF(L77&lt;175000, MAX(0,L11+L16-SUM(L18:L27,L32:L37)),0)</f>
        <v>0</v>
      </c>
      <c r="M29" s="118">
        <f>IF(M77&lt;175000, MAX(0,M11+M16-SUM(M18:M27,M32:M37)),0)+M7</f>
        <v>0</v>
      </c>
      <c r="N29" s="88">
        <f t="shared" si="1"/>
        <v>236681.02222222229</v>
      </c>
      <c r="P29" s="90"/>
      <c r="Q29" s="90"/>
    </row>
    <row r="30" spans="1:19" s="89" customFormat="1" x14ac:dyDescent="0.2">
      <c r="A30" s="87" t="s">
        <v>69</v>
      </c>
      <c r="B30" s="117"/>
      <c r="C30" s="117"/>
      <c r="D30" s="117"/>
      <c r="E30" s="117"/>
      <c r="F30" s="117"/>
      <c r="G30" s="121">
        <f>VLOOKUP(G77,Tablas!$G:$H,2)+G81</f>
        <v>66229</v>
      </c>
      <c r="H30" s="118">
        <f>VLOOKUP(H77,Tablas!$G:$H,2)</f>
        <v>21507</v>
      </c>
      <c r="I30" s="118">
        <f>VLOOKUP(I77,Tablas!$G:$H,2)</f>
        <v>0</v>
      </c>
      <c r="J30" s="118">
        <f>VLOOKUP(J77,Tablas!$J:$K,2)</f>
        <v>0</v>
      </c>
      <c r="K30" s="118">
        <f>VLOOKUP(K77,Tablas!$J:$K,2)</f>
        <v>36662</v>
      </c>
      <c r="L30" s="118">
        <f>VLOOKUP(L77,Tablas!$J:$K,2)</f>
        <v>25748</v>
      </c>
      <c r="M30" s="118">
        <f>VLOOKUP(M77,Tablas!$J:$K,2)</f>
        <v>20533</v>
      </c>
      <c r="N30" s="88">
        <f t="shared" si="1"/>
        <v>170679</v>
      </c>
      <c r="P30" s="90"/>
      <c r="Q30" s="90"/>
    </row>
    <row r="31" spans="1:19" s="89" customForma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P31" s="90"/>
      <c r="Q31" s="90"/>
    </row>
    <row r="32" spans="1:19" ht="12.75" x14ac:dyDescent="0.25">
      <c r="A32" s="4" t="s">
        <v>13</v>
      </c>
      <c r="B32" s="4">
        <f>O32</f>
        <v>67071.359999999986</v>
      </c>
      <c r="C32" s="4">
        <f>IF(COUNTIF($B$63:B$63,"x")&gt;0,0,IF(C$63="A",$O32*COUNTA($A32:B32),IF(COUNTIF(D$63:$M$63,"A")&gt;0,0,$O32*IF(C$63="x",12,COUNTA($A32:B32))-SUM($B32:B32))))</f>
        <v>67071.359999999986</v>
      </c>
      <c r="D32" s="4">
        <f>IF(COUNTIF($B$63:C$63,"x")&gt;0,0,IF(D$63="A",$O32*COUNTA($A32:C32),IF(COUNTIF(E$63:$M$63,"A")&gt;0,0,$O32*IF(D$63="x",12,COUNTA($A32:C32))-SUM($B32:C32))))</f>
        <v>67071.359999999986</v>
      </c>
      <c r="E32" s="4">
        <f>IF(COUNTIF($B$63:D$63,"x")&gt;0,0,IF(E$63="A",$O32*COUNTA($A32:D32),IF(COUNTIF(F$63:$M$63,"A")&gt;0,0,$O32*IF(E$63="x",12,COUNTA($A32:D32))-SUM($B32:D32))))</f>
        <v>67071.359999999986</v>
      </c>
      <c r="F32" s="4">
        <f>IF(COUNTIF($B$63:E$63,"x")&gt;0,0,IF(F$63="A",$O32*COUNTA($A32:E32),IF(COUNTIF(G$63:$M$63,"A")&gt;0,0,$O32*IF(F$63="x",12,COUNTA($A32:E32))-SUM($B32:E32))))</f>
        <v>67071.359999999986</v>
      </c>
      <c r="G32" s="4">
        <f>IF(COUNTIF($B$63:F$63,"x")&gt;0,0,IF(G$63="A",$O32*COUNTA($A32:F32),IF(COUNTIF(H$63:$M$63,"A")&gt;0,0,$O32*IF(G$63="x",12,COUNTA($A32:F32))-SUM($B32:F32))))</f>
        <v>67071.359999999986</v>
      </c>
      <c r="H32" s="4">
        <f>IF(COUNTIF($B$63:G$63,"x")&gt;0,0,IF(H$63="A",$O32*COUNTA($A32:G32),IF(COUNTIF(I$63:$M$63,"A")&gt;0,0,$O32*IF(H$63="x",12,COUNTA($A32:G32))-SUM($B32:G32))))</f>
        <v>67071.359999999986</v>
      </c>
      <c r="I32" s="4">
        <f>IF(COUNTIF($B$63:H$63,"x")&gt;0,0,IF(I$63="A",$O32*COUNTA($A32:H32),IF(COUNTIF(J$63:$M$63,"A")&gt;0,0,$O32*IF(I$63="x",12,COUNTA($A32:H32))-SUM($B32:H32))))</f>
        <v>67071.359999999986</v>
      </c>
      <c r="J32" s="4">
        <f>IF(COUNTIF($B$63:I$63,"x")&gt;0,0,IF(J$63="A",$O32*COUNTA($A32:I32),IF(COUNTIF(K$63:$M$63,"A")&gt;0,0,$O32*IF(J$63="x",12,COUNTA($A32:I32))-SUM($B32:I32))))</f>
        <v>67071.359999999986</v>
      </c>
      <c r="K32" s="4">
        <f>IF(COUNTIF($B$63:J$63,"x")&gt;0,0,IF(K$63="A",$O32*COUNTA($A32:J32),IF(COUNTIF(L$63:$M$63,"A")&gt;0,0,$O32*IF(K$63="x",12,COUNTA($A32:J32))-SUM($B32:J32))))</f>
        <v>67071.359999999986</v>
      </c>
      <c r="L32" s="4">
        <f>IF(COUNTIF($B$63:K$63,"x")&gt;0,0,IF(L$63="A",$O32*COUNTA($A32:K32),IF(COUNTIF(M$63:$M$63,"A")&gt;0,0,$O32*IF(L$63="x",12,COUNTA($A32:K32))-SUM($B32:K32))))</f>
        <v>67071.359999999986</v>
      </c>
      <c r="M32" s="4">
        <f>IF(COUNTIF($B$63:L$63,"x")&gt;0,0,IF(M$63="A",$O32*COUNTA($A32:L32),IF(COUNTIF($M$63:N$63,"A")&gt;0,0,$O32*IF(M$63="x",12,COUNTA($A32:L32))-SUM($B32:L32))))</f>
        <v>67071.359999999986</v>
      </c>
      <c r="N32" s="8">
        <f t="shared" si="1"/>
        <v>804856.31999999983</v>
      </c>
      <c r="O32" s="32">
        <f>O33*4.8</f>
        <v>67071.359999999986</v>
      </c>
      <c r="P32" s="32">
        <f>P33*4.8+0.02</f>
        <v>804856.34</v>
      </c>
      <c r="Q32" s="74"/>
      <c r="R32" s="75"/>
      <c r="S32" s="3"/>
    </row>
    <row r="33" spans="1:19" ht="12.75" x14ac:dyDescent="0.25">
      <c r="A33" s="4" t="s">
        <v>12</v>
      </c>
      <c r="B33" s="4">
        <f>O33</f>
        <v>13973.199999999999</v>
      </c>
      <c r="C33" s="4">
        <f t="shared" ref="C33:M33" si="7">C32/4.8</f>
        <v>13973.199999999997</v>
      </c>
      <c r="D33" s="4">
        <f t="shared" si="7"/>
        <v>13973.199999999997</v>
      </c>
      <c r="E33" s="4">
        <f t="shared" si="7"/>
        <v>13973.199999999997</v>
      </c>
      <c r="F33" s="4">
        <f t="shared" si="7"/>
        <v>13973.199999999997</v>
      </c>
      <c r="G33" s="4">
        <f t="shared" si="7"/>
        <v>13973.199999999997</v>
      </c>
      <c r="H33" s="4">
        <f t="shared" si="7"/>
        <v>13973.199999999997</v>
      </c>
      <c r="I33" s="4">
        <f t="shared" si="7"/>
        <v>13973.199999999997</v>
      </c>
      <c r="J33" s="4">
        <f t="shared" si="7"/>
        <v>13973.199999999997</v>
      </c>
      <c r="K33" s="4">
        <f t="shared" si="7"/>
        <v>13973.199999999997</v>
      </c>
      <c r="L33" s="4">
        <f t="shared" si="7"/>
        <v>13973.199999999997</v>
      </c>
      <c r="M33" s="4">
        <f t="shared" si="7"/>
        <v>13973.199999999997</v>
      </c>
      <c r="N33" s="8">
        <f t="shared" si="1"/>
        <v>167678.39999999997</v>
      </c>
      <c r="O33" s="32">
        <f>P33/12</f>
        <v>13973.199999999999</v>
      </c>
      <c r="P33" s="32">
        <v>167678.39999999999</v>
      </c>
      <c r="Q33" s="74"/>
      <c r="R33" s="74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2"/>
      <c r="P34" s="85"/>
      <c r="Q34" s="74"/>
      <c r="R34" s="74"/>
    </row>
    <row r="35" spans="1:19" ht="12.75" x14ac:dyDescent="0.25">
      <c r="A35" s="4" t="s">
        <v>20</v>
      </c>
      <c r="B35" s="4">
        <f>IF(B$63="A",$O35*B69,IF(COUNTIF(C$63:$M$63,"A")&gt;0,0,$O35*IF(B$63="x",12,1)*B69))</f>
        <v>0</v>
      </c>
      <c r="C35" s="4">
        <f>IF(COUNTIF($B$63:B$63,"x")&gt;0,0,IF(C$63="A",$O35*COUNTA($A35:B35)*C69,IF(COUNTIF(D$63:$M$63,"A")&gt;0,0,$O35*IF(C$63="x",12,COUNTA($A35:B35))*C69-SUM($B35:B35))))</f>
        <v>0</v>
      </c>
      <c r="D35" s="4">
        <f>IF(COUNTIF($B$63:C$63,"x")&gt;0,0,IF(D$63="A",$O35*COUNTA($A35:C35)*D69,IF(COUNTIF(E$63:$M$63,"A")&gt;0,0,$O35*IF(D$63="x",12,COUNTA($A35:C35))*D69-SUM($B35:C35))))</f>
        <v>0</v>
      </c>
      <c r="E35" s="4">
        <f>IF(COUNTIF($B$63:D$63,"x")&gt;0,0,IF(E$63="A",$O35*COUNTA($A35:D35)*E69,IF(COUNTIF(F$63:$M$63,"A")&gt;0,0,$O35*IF(E$63="x",12,COUNTA($A35:D35))*E69-SUM($B35:D35))))</f>
        <v>0</v>
      </c>
      <c r="F35" s="4">
        <f>IF(COUNTIF($B$63:E$63,"x")&gt;0,0,IF(F$63="A",$O35*COUNTA($A35:E35)*F69,IF(COUNTIF(G$63:$M$63,"A")&gt;0,0,$O35*IF(F$63="x",12,COUNTA($A35:E35))*F69-SUM($B35:E35))))</f>
        <v>0</v>
      </c>
      <c r="G35" s="4">
        <f>IF(COUNTIF($B$63:F$63,"x")&gt;0,0,IF(G$63="A",$O35*COUNTA($A35:F35)*G69,IF(COUNTIF(H$63:$M$63,"A")&gt;0,0,$O35*IF(G$63="x",12,COUNTA($A35:F35))*G69-SUM($B35:F35))))</f>
        <v>0</v>
      </c>
      <c r="H35" s="4">
        <f>IF(COUNTIF($B$63:G$63,"x")&gt;0,0,IF(H$63="A",$O35*COUNTA($A35:G35)*H69,IF(COUNTIF(I$63:$M$63,"A")&gt;0,0,$O35*IF(H$63="x",12,COUNTA($A35:G35))*H69-SUM($B35:G35))))</f>
        <v>0</v>
      </c>
      <c r="I35" s="4">
        <f>IF(COUNTIF($B$63:H$63,"x")&gt;0,0,IF(I$63="A",$O35*COUNTA($A35:H35)*I69,IF(COUNTIF(J$63:$M$63,"A")&gt;0,0,$O35*IF(I$63="x",12,COUNTA($A35:H35))*I69-SUM($B35:H35))))</f>
        <v>0</v>
      </c>
      <c r="J35" s="4">
        <f>IF(COUNTIF($B$63:I$63,"x")&gt;0,0,IF(J$63="A",$O35*COUNTA($A35:I35)*J69,IF(COUNTIF(K$63:$M$63,"A")&gt;0,0,$O35*IF(J$63="x",12,COUNTA($A35:I35))*J69-SUM($B35:I35))))</f>
        <v>0</v>
      </c>
      <c r="K35" s="4">
        <f>IF(COUNTIF($B$63:J$63,"x")&gt;0,0,IF(K$63="A",$O35*COUNTA($A35:J35)*K69,IF(COUNTIF(L$63:$M$63,"A")&gt;0,0,$O35*IF(K$63="x",12,COUNTA($A35:J35))*K69-SUM($B35:J35))))</f>
        <v>0</v>
      </c>
      <c r="L35" s="4">
        <f>IF(COUNTIF($B$63:K$63,"x")&gt;0,0,IF(L$63="A",$O35*COUNTA($A35:K35)*L69,IF(COUNTIF(M$63:$M$63,"A")&gt;0,0,$O35*IF(L$63="x",12,COUNTA($A35:K35))*L69-SUM($B35:K35))))</f>
        <v>0</v>
      </c>
      <c r="M35" s="4">
        <f>IF(COUNTIF($B$63:L$63,"x")&gt;0,0,IF(M$63="A",$O35*COUNTA($A35:L35)*M69,IF(COUNTIF($M$63:N$63,"A")&gt;0,0,$O35*IF(M$63="x",12,COUNTA($A35:L35))*M69-SUM($B35:L35))))</f>
        <v>0</v>
      </c>
      <c r="N35" s="8">
        <f t="shared" si="1"/>
        <v>0</v>
      </c>
      <c r="O35" s="32">
        <f>P35/12</f>
        <v>13026.719166666668</v>
      </c>
      <c r="P35" s="32">
        <v>156320.63</v>
      </c>
    </row>
    <row r="36" spans="1:19" ht="12.75" x14ac:dyDescent="0.25">
      <c r="A36" s="4" t="s">
        <v>21</v>
      </c>
      <c r="B36" s="4">
        <f>IF(B$63="A",$O36*B70,IF(COUNTIF(C$63:$M$63,"A")&gt;0,0,$O36*IF(B$63="x",12,1)*B70))</f>
        <v>13138.846666666666</v>
      </c>
      <c r="C36" s="4">
        <f>IF(COUNTIF($B$63:B$63,"x")&gt;0,0,IF(C$63="A",$O36*COUNTA($A36:B36)*C70,IF(COUNTIF(D$63:$M$63,"A")&gt;0,0,$O36*IF(C$63="x",12,COUNTA($A36:B36))*C70-SUM($B36:B36))))</f>
        <v>13138.846666666666</v>
      </c>
      <c r="D36" s="4">
        <f>IF(COUNTIF($B$63:C$63,"x")&gt;0,0,IF(D$63="A",$O36*COUNTA($A36:C36)*D70,IF(COUNTIF(E$63:$M$63,"A")&gt;0,0,$O36*IF(D$63="x",12,COUNTA($A36:C36))*D70-SUM($B36:C36))))</f>
        <v>13138.846666666668</v>
      </c>
      <c r="E36" s="4">
        <f>IF(COUNTIF($B$63:D$63,"x")&gt;0,0,IF(E$63="A",$O36*COUNTA($A36:D36)*E70,IF(COUNTIF(F$63:$M$63,"A")&gt;0,0,$O36*IF(E$63="x",12,COUNTA($A36:D36))*E70-SUM($B36:D36))))</f>
        <v>13138.846666666665</v>
      </c>
      <c r="F36" s="4">
        <f>IF(COUNTIF($B$63:E$63,"x")&gt;0,0,IF(F$63="A",$O36*COUNTA($A36:E36)*F70,IF(COUNTIF(G$63:$M$63,"A")&gt;0,0,$O36*IF(F$63="x",12,COUNTA($A36:E36))*F70-SUM($B36:E36))))</f>
        <v>13138.846666666672</v>
      </c>
      <c r="G36" s="4">
        <f>IF(COUNTIF($B$63:F$63,"x")&gt;0,0,IF(G$63="A",$O36*COUNTA($A36:F36)*G70,IF(COUNTIF(H$63:$M$63,"A")&gt;0,0,$O36*IF(G$63="x",12,COUNTA($A36:F36))*G70-SUM($B36:F36))))</f>
        <v>13138.846666666665</v>
      </c>
      <c r="H36" s="4">
        <f>IF(COUNTIF($B$63:G$63,"x")&gt;0,0,IF(H$63="A",$O36*COUNTA($A36:G36)*H70,IF(COUNTIF(I$63:$M$63,"A")&gt;0,0,$O36*IF(H$63="x",12,COUNTA($A36:G36))*H70-SUM($B36:G36))))</f>
        <v>13138.846666666665</v>
      </c>
      <c r="I36" s="4">
        <f>IF(COUNTIF($B$63:H$63,"x")&gt;0,0,IF(I$63="A",$O36*COUNTA($A36:H36)*I70,IF(COUNTIF(J$63:$M$63,"A")&gt;0,0,$O36*IF(I$63="x",12,COUNTA($A36:H36))*I70-SUM($B36:H36))))</f>
        <v>13138.846666666665</v>
      </c>
      <c r="J36" s="4">
        <f>IF(COUNTIF($B$63:I$63,"x")&gt;0,0,IF(J$63="A",$O36*COUNTA($A36:I36)*J70,IF(COUNTIF(K$63:$M$63,"A")&gt;0,0,$O36*IF(J$63="x",12,COUNTA($A36:I36))*J70-SUM($B36:I36))))</f>
        <v>13138.846666666665</v>
      </c>
      <c r="K36" s="4">
        <f>IF(COUNTIF($B$63:J$63,"x")&gt;0,0,IF(K$63="A",$O36*COUNTA($A36:J36)*K70,IF(COUNTIF(L$63:$M$63,"A")&gt;0,0,$O36*IF(K$63="x",12,COUNTA($A36:J36))*K70-SUM($B36:J36))))</f>
        <v>13138.846666666679</v>
      </c>
      <c r="L36" s="4">
        <f>IF(COUNTIF($B$63:K$63,"x")&gt;0,0,IF(L$63="A",$O36*COUNTA($A36:K36)*L70,IF(COUNTIF(M$63:$M$63,"A")&gt;0,0,$O36*IF(L$63="x",12,COUNTA($A36:K36))*L70-SUM($B36:K36))))</f>
        <v>13138.84666666665</v>
      </c>
      <c r="M36" s="4">
        <f>IF(COUNTIF($B$63:L$63,"x")&gt;0,0,IF(M$63="A",$O36*COUNTA($A36:L36)*M70,IF(COUNTIF($M$63:N$63,"A")&gt;0,0,$O36*IF(M$63="x",12,COUNTA($A36:L36))*M70-SUM($B36:L36))))</f>
        <v>13138.846666666679</v>
      </c>
      <c r="N36" s="8">
        <f t="shared" ref="N36" si="8">SUM(B36:M36)</f>
        <v>157666.16</v>
      </c>
      <c r="O36" s="32">
        <f>P36/12</f>
        <v>6569.4233333333332</v>
      </c>
      <c r="P36" s="78">
        <v>78833.08</v>
      </c>
    </row>
    <row r="37" spans="1:19" ht="12.75" x14ac:dyDescent="0.25">
      <c r="A37" s="122" t="s">
        <v>88</v>
      </c>
      <c r="B37" s="4">
        <f>IF(B$63="A",$O37*B71,IF(COUNTIF(C$63:$M$63,"A")&gt;0,0,$O37*IF(B$63="x",12,1)*B71))</f>
        <v>0</v>
      </c>
      <c r="C37" s="4">
        <f>IF(COUNTIF($B$63:B$63,"x")&gt;0,0,IF(C$63="A",$O37*COUNTA($A37:B37)*C71,IF(COUNTIF(D$63:$M$63,"A")&gt;0,0,$O37*IF(C$63="x",12,COUNTA($A37:B37))*C71-SUM($B37:B37))))</f>
        <v>0</v>
      </c>
      <c r="D37" s="4">
        <f>IF(COUNTIF($B$63:C$63,"x")&gt;0,0,IF(D$63="A",$O37*COUNTA($A37:C37)*D71,IF(COUNTIF(E$63:$M$63,"A")&gt;0,0,$O37*IF(D$63="x",12,COUNTA($A37:C37))*D71-SUM($B37:C37))))</f>
        <v>0</v>
      </c>
      <c r="E37" s="4">
        <f>IF(COUNTIF($B$63:D$63,"x")&gt;0,0,IF(E$63="A",$O37*COUNTA($A37:D37)*E71,IF(COUNTIF(F$63:$M$63,"A")&gt;0,0,$O37*IF(E$63="x",12,COUNTA($A37:D37))*E71-SUM($B37:D37))))</f>
        <v>0</v>
      </c>
      <c r="F37" s="4">
        <f>IF(COUNTIF($B$63:E$63,"x")&gt;0,0,IF(F$63="A",$O37*COUNTA($A37:E37)*F71,IF(COUNTIF(G$63:$M$63,"A")&gt;0,0,$O37*IF(F$63="x",12,COUNTA($A37:E37))*F71-SUM($B37:E37))))</f>
        <v>0</v>
      </c>
      <c r="G37" s="4">
        <f>IF(COUNTIF($B$63:F$63,"x")&gt;0,0,IF(G$63="A",$O37*COUNTA($A37:F37)*G71,IF(COUNTIF(H$63:$M$63,"A")&gt;0,0,$O37*IF(G$63="x",12,COUNTA($A37:F37))*G71-SUM($B37:F37))))</f>
        <v>0</v>
      </c>
      <c r="H37" s="4">
        <f>IF(COUNTIF($B$63:G$63,"x")&gt;0,0,IF(H$63="A",$O37*COUNTA($A37:G37)*H71,IF(COUNTIF(I$63:$M$63,"A")&gt;0,0,$O37*IF(H$63="x",12,COUNTA($A37:G37))*H71-SUM($B37:G37))))</f>
        <v>0</v>
      </c>
      <c r="I37" s="4">
        <f>IF(COUNTIF($B$63:H$63,"x")&gt;0,0,IF(I$63="A",$O37*COUNTA($A37:H37)*I71,IF(COUNTIF(J$63:$M$63,"A")&gt;0,0,$O37*IF(I$63="x",12,COUNTA($A37:H37))*I71-SUM($B37:H37))))</f>
        <v>0</v>
      </c>
      <c r="J37" s="4">
        <f>IF(COUNTIF($B$63:I$63,"x")&gt;0,0,IF(J$63="A",$O37*COUNTA($A37:I37)*J71,IF(COUNTIF(K$63:$M$63,"A")&gt;0,0,$O37*IF(J$63="x",12,COUNTA($A37:I37))*J71-SUM($B37:I37))))</f>
        <v>0</v>
      </c>
      <c r="K37" s="4">
        <f>IF(COUNTIF($B$63:J$63,"x")&gt;0,0,IF(K$63="A",$O37*COUNTA($A37:J37)*K71,IF(COUNTIF(L$63:$M$63,"A")&gt;0,0,$O37*IF(K$63="x",12,COUNTA($A37:J37))*K71-SUM($B37:J37))))</f>
        <v>0</v>
      </c>
      <c r="L37" s="4">
        <f>IF(COUNTIF($B$63:K$63,"x")&gt;0,0,IF(L$63="A",$O37*COUNTA($A37:K37)*L71,IF(COUNTIF(M$63:$M$63,"A")&gt;0,0,$O37*IF(L$63="x",12,COUNTA($A37:K37))*L71-SUM($B37:K37))))</f>
        <v>0</v>
      </c>
      <c r="M37" s="4">
        <f>IF(COUNTIF($B$63:L$63,"x")&gt;0,0,IF(M$63="A",$O37*COUNTA($A37:L37)*M71,IF(COUNTIF($M$63:N$63,"A")&gt;0,0,$O37*IF(M$63="x",12,COUNTA($A37:L37))*M71-SUM($B37:L37))))</f>
        <v>0</v>
      </c>
      <c r="N37" s="8">
        <f t="shared" si="1"/>
        <v>0</v>
      </c>
      <c r="O37" s="32">
        <f>O36*2</f>
        <v>13138.846666666666</v>
      </c>
      <c r="P37" s="32">
        <f>P36*2</f>
        <v>157666.16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1"/>
        <v>0</v>
      </c>
    </row>
    <row r="39" spans="1:19" x14ac:dyDescent="0.2">
      <c r="A39" s="9" t="s">
        <v>85</v>
      </c>
      <c r="B39" s="9">
        <f t="shared" ref="B39:M39" si="9">SUM(B18:B38)</f>
        <v>94183.406666666648</v>
      </c>
      <c r="C39" s="9">
        <f t="shared" si="9"/>
        <v>94183.406666666648</v>
      </c>
      <c r="D39" s="9">
        <f t="shared" si="9"/>
        <v>94183.406666666648</v>
      </c>
      <c r="E39" s="9">
        <f t="shared" si="9"/>
        <v>94183.406666666648</v>
      </c>
      <c r="F39" s="9">
        <f t="shared" si="9"/>
        <v>94183.406666666648</v>
      </c>
      <c r="G39" s="9">
        <f t="shared" si="9"/>
        <v>283815.1866666667</v>
      </c>
      <c r="H39" s="9">
        <f t="shared" si="9"/>
        <v>115690.40666666665</v>
      </c>
      <c r="I39" s="9">
        <f t="shared" si="9"/>
        <v>139582.94444444444</v>
      </c>
      <c r="J39" s="9">
        <f t="shared" si="9"/>
        <v>162062.11111111112</v>
      </c>
      <c r="K39" s="9">
        <f t="shared" si="9"/>
        <v>130845.40666666666</v>
      </c>
      <c r="L39" s="9">
        <f t="shared" si="9"/>
        <v>119931.40666666663</v>
      </c>
      <c r="M39" s="9">
        <f t="shared" si="9"/>
        <v>114716.40666666666</v>
      </c>
      <c r="N39" s="10">
        <f t="shared" si="1"/>
        <v>1537560.9022222222</v>
      </c>
    </row>
    <row r="40" spans="1:19" x14ac:dyDescent="0.2">
      <c r="B40" s="4"/>
    </row>
    <row r="41" spans="1:19" x14ac:dyDescent="0.2">
      <c r="A41" s="63" t="s">
        <v>63</v>
      </c>
      <c r="B41" s="123"/>
      <c r="C41" s="74">
        <f t="shared" ref="C41:M41" si="10">C11+C16-C39</f>
        <v>32603.704444444462</v>
      </c>
      <c r="D41" s="74">
        <f t="shared" si="10"/>
        <v>40903.704444444447</v>
      </c>
      <c r="E41" s="74">
        <f t="shared" si="10"/>
        <v>45399.53777777779</v>
      </c>
      <c r="F41" s="74">
        <f t="shared" si="10"/>
        <v>45399.53777777779</v>
      </c>
      <c r="G41" s="74">
        <f t="shared" si="10"/>
        <v>-129823.90888888895</v>
      </c>
      <c r="H41" s="74">
        <f t="shared" si="10"/>
        <v>37380.037777777819</v>
      </c>
      <c r="I41" s="74">
        <f t="shared" si="10"/>
        <v>0</v>
      </c>
      <c r="J41" s="74">
        <f t="shared" si="10"/>
        <v>0</v>
      </c>
      <c r="K41" s="74">
        <f t="shared" si="10"/>
        <v>58191.704444444433</v>
      </c>
      <c r="L41" s="74">
        <f t="shared" si="10"/>
        <v>69105.704444444462</v>
      </c>
      <c r="M41" s="74">
        <f t="shared" si="10"/>
        <v>84737.37111111109</v>
      </c>
      <c r="N41" s="4"/>
    </row>
    <row r="42" spans="1:19" x14ac:dyDescent="0.2">
      <c r="A42" s="95" t="s">
        <v>62</v>
      </c>
      <c r="B42" s="40">
        <f>SUM($B3:B5,$B13:B13)-SUM($B9:B10,$B14:B14,$B39:B39)-SUM($B48:B49,-$B50:B50,-$B51:B51)</f>
        <v>32603.704444444447</v>
      </c>
      <c r="C42" s="40">
        <f>SUM($B3:C5,$B13:C13,$B50:C50,$B51:C51)-SUM($B9:C10,$B14:C14,$B39:C39,$B48:C49)</f>
        <v>65207.408888888924</v>
      </c>
      <c r="D42" s="40">
        <f>SUM($B3:D5,$B13:D13,$B50:D50,$B51:D51)-SUM($B9:D10,$B14:D14,$B39:D39,$B48:D49)</f>
        <v>106111.11333333346</v>
      </c>
      <c r="E42" s="40">
        <f>SUM($B3:E5,$B13:E13,$B50:E50,$B51:E51)-SUM($B9:E10,$B14:E14,$B39:E39,$B48:E49)</f>
        <v>151510.65111111116</v>
      </c>
      <c r="F42" s="40">
        <f>SUM($B3:F5,$B13:F13,$B50:F50,$B51:F51)-SUM($B9:F10,$B14:F14,$B39:F39,$B48:F49)</f>
        <v>196910.18888888892</v>
      </c>
      <c r="G42" s="40">
        <f>SUM($B3:G5,$B13:G13,$B50:G50,$B51:G51)-SUM($B9:G10,$B14:G14,$B39:G39,$B48:G49)</f>
        <v>-10413.719999999972</v>
      </c>
      <c r="H42" s="40">
        <f>SUM($B3:H5,$B13:H13,$B50:H50,$B51:H51)-SUM($B9:H10,$B14:H14,$B39:H39,$B48:H49)</f>
        <v>26966.317777778255</v>
      </c>
      <c r="I42" s="40">
        <f>SUM($B3:I5,$B13:I13,$B50:I50,$B51:I51)-SUM($B9:I10,$B14:I14,$B39:I39,$B48:I49)</f>
        <v>26966.317777778488</v>
      </c>
      <c r="J42" s="40">
        <f>SUM($B3:J5,$B13:J13,$B50:J50,$B51:J51)-SUM($B9:J10,$B14:J14,$B39:J39,$B48:J49)</f>
        <v>26966.31777777872</v>
      </c>
      <c r="K42" s="40">
        <f>SUM($B3:K5,$B13:K13,$B50:K50,$B51:K51)-SUM($B9:K10,$B14:K14,$B39:K39,$B48:K49)</f>
        <v>85158.022222223226</v>
      </c>
      <c r="L42" s="40">
        <f>SUM($B3:L5,$B13:L13,$B50:L50,$B51:L51)-SUM($B9:L10,$B14:L14,$B39:L39,$B48:L49)</f>
        <v>154263.72666666773</v>
      </c>
      <c r="M42" s="40">
        <f>SUM($B3:M5,$B13:M13,$B50:M50,$B51:M51)-SUM($B9:M10,$B14:M14,$B39:M39,$B48:M49)</f>
        <v>139001.09777777875</v>
      </c>
      <c r="N42" s="4"/>
    </row>
    <row r="43" spans="1:19" x14ac:dyDescent="0.2">
      <c r="A43" s="49" t="s">
        <v>46</v>
      </c>
      <c r="B43" s="41">
        <f>IF(B63="x",VLOOKUP(B42,Tablas!$A$1:$D$10,3)+(B42-VLOOKUP(B42,Tablas!$A$1:$D$10,1))*VLOOKUP(B42,Tablas!$A$1:$D$10,4),VLOOKUP(B42,Tablas!$A$13:$D$22,3)+(B42-VLOOKUP(B42,Tablas!$A$13:$D$22,1))*VLOOKUP(B42,Tablas!$A$13:$D$22,4))</f>
        <v>4325.9970388888896</v>
      </c>
      <c r="C43" s="41">
        <f>IF(C63="x",VLOOKUP(C42,Tablas!$A$1:$D$10,3)+(C42-VLOOKUP(C42,Tablas!$A$1:$D$10,1))*VLOOKUP(C42,Tablas!$A$1:$D$10,4),VLOOKUP(C42,Tablas!$A$25:$D$34,3)+(C42-VLOOKUP(C42,Tablas!$A$25:$D$34,1))*VLOOKUP(C42,Tablas!$A$25:$D$34,4))</f>
        <v>8651.9940777777865</v>
      </c>
      <c r="D43" s="41">
        <f>IF(D63="x",VLOOKUP(D42,Tablas!$A$1:$D$10,3)+(D42-VLOOKUP(D42,Tablas!$A$1:$D$10,1))*VLOOKUP(D42,Tablas!$A$1:$D$10,4),VLOOKUP(D42,Tablas!$A$37:$D$46,3)+(D42-VLOOKUP(D42,Tablas!$A$37:$D$46,1))*VLOOKUP(D42,Tablas!$A$37:$D$46,4))</f>
        <v>14886.991116666697</v>
      </c>
      <c r="E43" s="41">
        <f>IF(E63="x",VLOOKUP(E42,Tablas!$A$1:$D$10,3)+(E42-VLOOKUP(E42,Tablas!$A$1:$D$10,1))*VLOOKUP(E42,Tablas!$A$1:$D$10,4),VLOOKUP(E42,Tablas!$A$49:$D$58,3)+(E42-VLOOKUP(E42,Tablas!$A$49:$D$58,1))*VLOOKUP(E42,Tablas!$A$49:$D$58,4))</f>
        <v>22156.029822222234</v>
      </c>
      <c r="F43" s="41">
        <f>IF(F63="x",VLOOKUP(F42,Tablas!$A$1:$D$10,3)+(F42-VLOOKUP(F42,Tablas!$A$1:$D$10,1))*VLOOKUP(F42,Tablas!$A$1:$D$10,4),VLOOKUP(F42,Tablas!$A$61:$D$70,3)+(F42-VLOOKUP(F42,Tablas!$A$61:$D$70,1))*VLOOKUP(F42,Tablas!$A$61:$D$70,4))</f>
        <v>29425.068527777788</v>
      </c>
      <c r="G43" s="41">
        <f>IF(G63="x",VLOOKUP(G42,Tablas!$A$1:$D$10,3)+(G42-VLOOKUP(G42,Tablas!$A$1:$D$10,1))*VLOOKUP(G42,Tablas!$A$1:$D$10,4),VLOOKUP(G42,Tablas!$A$73:$D$82,3)+(G42-VLOOKUP(G42,Tablas!$A$73:$D$82,1))*VLOOKUP(G42,Tablas!$A$73:$D$82,4))</f>
        <v>0</v>
      </c>
      <c r="H43" s="41">
        <f>IF(H63="x",VLOOKUP(H42,Tablas!$A$1:$D$10,3)+(H42-VLOOKUP(H42,Tablas!$A$1:$D$10,1))*VLOOKUP(H42,Tablas!$A$1:$D$10,4),VLOOKUP(H42,Tablas!$A$85:$D$94,3)+(H42-VLOOKUP(H42,Tablas!$A$85:$D$94,1))*VLOOKUP(H42,Tablas!$A$85:$D$94,4))</f>
        <v>1348.3158888889129</v>
      </c>
      <c r="I43" s="41">
        <f>IF(I63="x",VLOOKUP(I42,Tablas!$A$1:$D$10,3)+(I42-VLOOKUP(I42,Tablas!$A$1:$D$10,1))*VLOOKUP(I42,Tablas!$A$1:$D$10,4),VLOOKUP(I42,Tablas!$A$97:$D$106,3)+(I42-VLOOKUP(I42,Tablas!$A$97:$D$106,1))*VLOOKUP(I42,Tablas!$A$97:$D$106,4))</f>
        <v>1348.3158888889245</v>
      </c>
      <c r="J43" s="41">
        <f>IF(J63="x",VLOOKUP(J42,Tablas!$A$1:$D$10,3)+(J42-VLOOKUP(J42,Tablas!$A$1:$D$10,1))*VLOOKUP(J42,Tablas!$A$1:$D$10,4),VLOOKUP(J42,Tablas!$A$109:$D$118,3)+(J42-VLOOKUP(J42,Tablas!$A$109:$D$118,1))*VLOOKUP(J42,Tablas!$A$109:$D$118,4))</f>
        <v>1348.3158888889361</v>
      </c>
      <c r="K43" s="41">
        <f>IF(K63="x",VLOOKUP(K42,Tablas!$A$1:$D$10,3)+(K42-VLOOKUP(K42,Tablas!$A$1:$D$10,1))*VLOOKUP(K42,Tablas!$A$1:$D$10,4),VLOOKUP(K42,Tablas!$A$121:$D$130,3)+(K42-VLOOKUP(K42,Tablas!$A$121:$D$130,1))*VLOOKUP(K42,Tablas!$A$121:$D$130,4))</f>
        <v>5513.1340000000901</v>
      </c>
      <c r="L43" s="41">
        <f>IF(L63="x",VLOOKUP(L42,Tablas!$A$1:$D$10,3)+(L42-VLOOKUP(L42,Tablas!$A$1:$D$10,1))*VLOOKUP(L42,Tablas!$A$1:$D$10,4),VLOOKUP(L42,Tablas!$A$133:$D$142,3)+(L42-VLOOKUP(L42,Tablas!$A$133:$D$142,1))*VLOOKUP(L42,Tablas!$A$133:$D$142,4))</f>
        <v>12596.154925000128</v>
      </c>
      <c r="M43" s="41">
        <f>IF(M63="x",VLOOKUP(M42,Tablas!$A$1:$D$10,3)+(M42-VLOOKUP(M42,Tablas!$A$1:$D$10,1))*VLOOKUP(M42,Tablas!$A$1:$D$10,4),VLOOKUP(M42,Tablas!$A$1:$D$10,3)+(M42-VLOOKUP(M42,Tablas!$A$1:$D$10,1))*VLOOKUP(M42,Tablas!$A$1:$D$10,4))</f>
        <v>10226.867433333451</v>
      </c>
      <c r="N43" s="4"/>
    </row>
    <row r="44" spans="1:19" x14ac:dyDescent="0.2">
      <c r="B44" s="51">
        <f>IF(B63="x",VLOOKUP(MAX(0,B42),Tablas!$A$1:$D$10,4),VLOOKUP(MAX(0,B42),Tablas!$A$13:$D$22,4))</f>
        <v>0.23</v>
      </c>
      <c r="C44" s="51">
        <f>IF(C63="x",VLOOKUP(MAX(0,C42),Tablas!$A$1:$D$10,4),VLOOKUP(MAX(0,C42),Tablas!$A$25:$D$34,4))</f>
        <v>0.23</v>
      </c>
      <c r="D44" s="51">
        <f>IF(D63="x",VLOOKUP(MAX(0,D42),Tablas!$A$1:$D$10,4),VLOOKUP(MAX(0,D42),Tablas!$A$37:$D$46,4))</f>
        <v>0.23</v>
      </c>
      <c r="E44" s="51">
        <f>IF(E63="x",VLOOKUP(MAX(0,E42),Tablas!$A$1:$D$10,4),VLOOKUP(MAX(0,E42),Tablas!$A$49:$D$58,4))</f>
        <v>0.23</v>
      </c>
      <c r="F44" s="51">
        <f>IF(F63="x",VLOOKUP(MAX(0,F42),Tablas!$A$1:$D$10,4),VLOOKUP(MAX(0,F42),Tablas!$A$61:$D$70,4))</f>
        <v>0.23</v>
      </c>
      <c r="G44" s="51">
        <f>IF(G63="x",VLOOKUP(MAX(0,G42),Tablas!$A$1:$D$10,4),VLOOKUP(MAX(0,G42),Tablas!$A$73:$D$82,4))</f>
        <v>0.05</v>
      </c>
      <c r="H44" s="51">
        <f>IF(H63="x",VLOOKUP(MAX(0,H42),Tablas!$A$1:$D$10,4),VLOOKUP(MAX(0,H42),Tablas!$A$97:$D$106,4))</f>
        <v>0.05</v>
      </c>
      <c r="I44" s="51">
        <f>IF(I63="x",VLOOKUP(MAX(0,I42),Tablas!$A$1:$D$10,4),VLOOKUP(MAX(0,I42),Tablas!$A$97:$D$106,4))</f>
        <v>0.05</v>
      </c>
      <c r="J44" s="51">
        <f>IF(J63="x",VLOOKUP(MAX(0,J42),Tablas!$A$1:$D$10,4),VLOOKUP(MAX(0,J42),Tablas!$A$121:$D$130,4))</f>
        <v>0.05</v>
      </c>
      <c r="K44" s="51">
        <f>IF(K63="x",VLOOKUP(MAX(0,K42),Tablas!$A$1:$D$10,4),VLOOKUP(MAX(0,K42),Tablas!$A$121:$D$130,4))</f>
        <v>0.09</v>
      </c>
      <c r="L44" s="51">
        <f>IF(L63="x",VLOOKUP(MAX(0,L42),Tablas!$A$1:$D$10,4),VLOOKUP(MAX(0,L42),Tablas!$A$133:$D$142,4))</f>
        <v>0.12</v>
      </c>
      <c r="M44" s="51">
        <f>IF(M63="x",VLOOKUP(MAX(0,M42),Tablas!$A$1:$D$10,4),VLOOKUP(MAX(0,M42),Tablas!$A$1:$D$10,4))</f>
        <v>0.12</v>
      </c>
      <c r="N44" s="4"/>
    </row>
    <row r="45" spans="1:19" s="46" customFormat="1" x14ac:dyDescent="0.2">
      <c r="A45" s="44" t="s">
        <v>38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</row>
    <row r="46" spans="1:19" s="46" customFormat="1" x14ac:dyDescent="0.2">
      <c r="A46" s="44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</row>
    <row r="47" spans="1:19" s="46" customFormat="1" x14ac:dyDescent="0.2">
      <c r="A47" s="44" t="s">
        <v>40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</row>
    <row r="48" spans="1:19" s="48" customFormat="1" x14ac:dyDescent="0.2">
      <c r="A48" s="47" t="s">
        <v>41</v>
      </c>
      <c r="B48" s="47">
        <f>B45+B46/3*2+B47/2</f>
        <v>0</v>
      </c>
      <c r="C48" s="47">
        <f>C45+C46/3*2+C47/2</f>
        <v>0</v>
      </c>
      <c r="D48" s="47">
        <f t="shared" ref="D48:M48" si="11">D45+D46/3*2+D47/2</f>
        <v>0</v>
      </c>
      <c r="E48" s="47">
        <f t="shared" si="11"/>
        <v>0</v>
      </c>
      <c r="F48" s="47">
        <f t="shared" si="11"/>
        <v>0</v>
      </c>
      <c r="G48" s="47">
        <f t="shared" si="11"/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</row>
    <row r="49" spans="1:14" s="48" customFormat="1" x14ac:dyDescent="0.2">
      <c r="A49" s="47" t="s">
        <v>42</v>
      </c>
      <c r="B49" s="47">
        <f t="shared" ref="B49:M49" si="12">SUM(B45:B47)-B48</f>
        <v>0</v>
      </c>
      <c r="C49" s="47">
        <f t="shared" si="12"/>
        <v>0</v>
      </c>
      <c r="D49" s="47">
        <f t="shared" si="12"/>
        <v>0</v>
      </c>
      <c r="E49" s="47">
        <f t="shared" si="12"/>
        <v>0</v>
      </c>
      <c r="F49" s="47">
        <f t="shared" si="12"/>
        <v>0</v>
      </c>
      <c r="G49" s="47">
        <f t="shared" si="12"/>
        <v>0</v>
      </c>
      <c r="H49" s="47">
        <f t="shared" si="12"/>
        <v>0</v>
      </c>
      <c r="I49" s="47">
        <f t="shared" si="12"/>
        <v>0</v>
      </c>
      <c r="J49" s="47">
        <f t="shared" si="12"/>
        <v>0</v>
      </c>
      <c r="K49" s="47">
        <f t="shared" si="12"/>
        <v>0</v>
      </c>
      <c r="L49" s="47">
        <f t="shared" si="12"/>
        <v>0</v>
      </c>
      <c r="M49" s="47">
        <f t="shared" si="12"/>
        <v>0</v>
      </c>
    </row>
    <row r="50" spans="1:14" s="48" customFormat="1" x14ac:dyDescent="0.2">
      <c r="A50" s="47" t="s">
        <v>43</v>
      </c>
      <c r="B50" s="47">
        <f t="shared" ref="B50:M50" si="13">B48*(0.17+$B$72)</f>
        <v>0</v>
      </c>
      <c r="C50" s="47">
        <f t="shared" si="13"/>
        <v>0</v>
      </c>
      <c r="D50" s="47">
        <f t="shared" si="13"/>
        <v>0</v>
      </c>
      <c r="E50" s="47">
        <f t="shared" si="13"/>
        <v>0</v>
      </c>
      <c r="F50" s="47">
        <f t="shared" si="13"/>
        <v>0</v>
      </c>
      <c r="G50" s="47">
        <f t="shared" si="13"/>
        <v>0</v>
      </c>
      <c r="H50" s="47">
        <f t="shared" si="13"/>
        <v>0</v>
      </c>
      <c r="I50" s="47">
        <f t="shared" si="13"/>
        <v>0</v>
      </c>
      <c r="J50" s="47">
        <f t="shared" si="13"/>
        <v>0</v>
      </c>
      <c r="K50" s="47">
        <f t="shared" si="13"/>
        <v>0</v>
      </c>
      <c r="L50" s="47">
        <f t="shared" si="13"/>
        <v>0</v>
      </c>
      <c r="M50" s="47">
        <f t="shared" si="13"/>
        <v>0</v>
      </c>
    </row>
    <row r="51" spans="1:14" s="48" customFormat="1" x14ac:dyDescent="0.2">
      <c r="A51" s="47" t="s">
        <v>44</v>
      </c>
      <c r="B51" s="47">
        <f t="shared" ref="B51:M51" si="14">B49*(0.17+$B$72)</f>
        <v>0</v>
      </c>
      <c r="C51" s="47">
        <f t="shared" si="14"/>
        <v>0</v>
      </c>
      <c r="D51" s="47">
        <f t="shared" si="14"/>
        <v>0</v>
      </c>
      <c r="E51" s="47">
        <f t="shared" si="14"/>
        <v>0</v>
      </c>
      <c r="F51" s="47">
        <f t="shared" si="14"/>
        <v>0</v>
      </c>
      <c r="G51" s="47">
        <f t="shared" si="14"/>
        <v>0</v>
      </c>
      <c r="H51" s="47">
        <f t="shared" si="14"/>
        <v>0</v>
      </c>
      <c r="I51" s="47">
        <f t="shared" si="14"/>
        <v>0</v>
      </c>
      <c r="J51" s="47">
        <f t="shared" si="14"/>
        <v>0</v>
      </c>
      <c r="K51" s="47">
        <f t="shared" si="14"/>
        <v>0</v>
      </c>
      <c r="L51" s="47">
        <f t="shared" si="14"/>
        <v>0</v>
      </c>
      <c r="M51" s="47">
        <f t="shared" si="14"/>
        <v>0</v>
      </c>
    </row>
    <row r="52" spans="1:14" s="46" customFormat="1" x14ac:dyDescent="0.2">
      <c r="A52" s="49"/>
      <c r="K52" s="50"/>
      <c r="L52" s="50"/>
      <c r="M52" s="50"/>
      <c r="N52" s="50"/>
    </row>
    <row r="53" spans="1:14" s="46" customFormat="1" x14ac:dyDescent="0.2">
      <c r="A53" s="49" t="s">
        <v>45</v>
      </c>
      <c r="B53" s="40">
        <f>B42+B48-B50</f>
        <v>32603.704444444447</v>
      </c>
      <c r="C53" s="40">
        <f>C42+SUM($B48:C48)-SUM($B50:C50)</f>
        <v>65207.408888888924</v>
      </c>
      <c r="D53" s="40">
        <f>D42+SUM($B48:D48)-SUM($B50:D50)</f>
        <v>106111.11333333346</v>
      </c>
      <c r="E53" s="40">
        <f>E42+SUM($B48:E48)-SUM($B50:E50)</f>
        <v>151510.65111111116</v>
      </c>
      <c r="F53" s="40">
        <f>F42+SUM($B48:F48)-SUM($B50:F50)</f>
        <v>196910.18888888892</v>
      </c>
      <c r="G53" s="40">
        <f>G42+SUM($B48:G48)-SUM($B50:G50)</f>
        <v>-10413.719999999972</v>
      </c>
      <c r="H53" s="40">
        <f>H42+SUM($B48:H48)-SUM($B50:H50)</f>
        <v>26966.317777778255</v>
      </c>
      <c r="I53" s="40">
        <f>I42+SUM($B48:I48)-SUM($B50:I50)</f>
        <v>26966.317777778488</v>
      </c>
      <c r="J53" s="40">
        <f>J42+SUM($B48:J48)-SUM($B50:J50)</f>
        <v>26966.31777777872</v>
      </c>
      <c r="K53" s="40">
        <f>K42+SUM($B48:K48)-SUM($B50:K50)</f>
        <v>85158.022222223226</v>
      </c>
      <c r="L53" s="40">
        <f>L42+SUM($B48:L48)-SUM($B50:L50)</f>
        <v>154263.72666666773</v>
      </c>
      <c r="M53" s="40">
        <f>M42+SUM($B48:M48)-SUM($B50:M50)</f>
        <v>139001.09777777875</v>
      </c>
      <c r="N53" s="4"/>
    </row>
    <row r="54" spans="1:14" s="46" customFormat="1" x14ac:dyDescent="0.2">
      <c r="A54" s="49" t="s">
        <v>46</v>
      </c>
      <c r="B54" s="41">
        <f>MAX(0,MIN(B48-B50,B53)*B44+B43)</f>
        <v>4325.9970388888896</v>
      </c>
      <c r="C54" s="41">
        <f>MAX(0,MIN(SUM($B48:C48)-SUM($B50:C50),C53)*C44+C43)</f>
        <v>8651.9940777777865</v>
      </c>
      <c r="D54" s="41">
        <f>MAX(0,MIN(SUM($B48:D48)-SUM($B50:D50),D53)*D44+D43)</f>
        <v>14886.991116666697</v>
      </c>
      <c r="E54" s="41">
        <f>MAX(0,MIN(SUM($B48:E48)-SUM($B50:E50),E53)*E44+E43)</f>
        <v>22156.029822222234</v>
      </c>
      <c r="F54" s="41">
        <f>MAX(0,MIN(SUM($B48:F48)-SUM($B50:F50),F53)*F44+F43)</f>
        <v>29425.068527777788</v>
      </c>
      <c r="G54" s="41">
        <f>MAX(0,MIN(SUM($B48:G48)-SUM($B50:G50),G53)*G44+G43)</f>
        <v>0</v>
      </c>
      <c r="H54" s="41">
        <f>MAX(0,MIN(SUM($B48:H48)-SUM($B50:H50),H53)*H44+H43)</f>
        <v>1348.3158888889129</v>
      </c>
      <c r="I54" s="41">
        <f>MAX(0,MIN(SUM($B48:I48)-SUM($B50:I50),I53)*I44+I43)</f>
        <v>1348.3158888889245</v>
      </c>
      <c r="J54" s="41">
        <f>MAX(0,MIN(SUM($B48:J48)-SUM($B50:J50),J53)*J44+J43)</f>
        <v>1348.3158888889361</v>
      </c>
      <c r="K54" s="41">
        <f>MAX(0,MIN(SUM($B48:K48)-SUM($B50:K50),K53)*K44+K43)</f>
        <v>5513.1340000000901</v>
      </c>
      <c r="L54" s="41">
        <f>MAX(0,MIN(SUM($B48:L48)-SUM($B50:L50),L53)*L44+L43)</f>
        <v>12596.154925000128</v>
      </c>
      <c r="M54" s="41">
        <f>MAX(0,MIN(SUM($B48:M48)-SUM($B50:M50),M53)*M44+M43)</f>
        <v>10226.867433333451</v>
      </c>
      <c r="N54" s="4"/>
    </row>
    <row r="55" spans="1:14" s="56" customFormat="1" ht="12.75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4"/>
    </row>
    <row r="56" spans="1:14" x14ac:dyDescent="0.2">
      <c r="A56" s="95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97">
        <f>-G87</f>
        <v>-27054.83572777779</v>
      </c>
      <c r="H56" s="97">
        <f>-$G56/5</f>
        <v>5410.9671455555581</v>
      </c>
      <c r="I56" s="97">
        <f t="shared" ref="I56:L56" si="15">-$G56/5</f>
        <v>5410.9671455555581</v>
      </c>
      <c r="J56" s="97">
        <f t="shared" si="15"/>
        <v>5410.9671455555581</v>
      </c>
      <c r="K56" s="97">
        <f t="shared" si="15"/>
        <v>5410.9671455555581</v>
      </c>
      <c r="L56" s="97">
        <f t="shared" si="15"/>
        <v>5410.9671455555581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4326</v>
      </c>
      <c r="D57" s="11">
        <f t="shared" ref="D57:M57" si="16">C57+C58+D56</f>
        <v>8651.99</v>
      </c>
      <c r="E57" s="11">
        <f t="shared" si="16"/>
        <v>14886.99</v>
      </c>
      <c r="F57" s="11">
        <f t="shared" si="16"/>
        <v>22156.03</v>
      </c>
      <c r="G57" s="11">
        <f t="shared" si="16"/>
        <v>2370.2342722222093</v>
      </c>
      <c r="H57" s="11">
        <f t="shared" si="16"/>
        <v>5410.9714177777678</v>
      </c>
      <c r="I57" s="11">
        <f t="shared" si="16"/>
        <v>6759.278563333326</v>
      </c>
      <c r="J57" s="11">
        <f t="shared" si="16"/>
        <v>6759.2857088888841</v>
      </c>
      <c r="K57" s="11">
        <f t="shared" si="16"/>
        <v>6759.2828544444419</v>
      </c>
      <c r="L57" s="11">
        <f t="shared" si="16"/>
        <v>10924.1</v>
      </c>
      <c r="M57" s="11">
        <f t="shared" si="16"/>
        <v>12596.15</v>
      </c>
      <c r="N57" s="4"/>
    </row>
    <row r="58" spans="1:14" x14ac:dyDescent="0.2">
      <c r="A58" s="4" t="s">
        <v>22</v>
      </c>
      <c r="B58" s="11">
        <f>MIN(ROUND(B54-B57,2),B59)</f>
        <v>4326</v>
      </c>
      <c r="C58" s="11">
        <f>MAX(-SUM($B58:B58)-SUM($B56:C56),  IF(COUNTIF($B$63:B$63,"X")&gt;0,0,MIN(ROUND(C54-C57,2),C59)))</f>
        <v>4325.99</v>
      </c>
      <c r="D58" s="11">
        <f>MAX(-SUM($B58:C58)-SUM($B56:D56),  IF(COUNTIF($B$63:C$63,"X")&gt;0,0,MIN(ROUND(D54-D57,2),D59)))</f>
        <v>6235</v>
      </c>
      <c r="E58" s="11">
        <f>MAX(-SUM($B58:D58)-SUM($B56:E56),  IF(COUNTIF($B$63:D$63,"X")&gt;0,0,MIN(ROUND(E54-E57,2),E59)))</f>
        <v>7269.04</v>
      </c>
      <c r="F58" s="11">
        <f>MAX(-SUM($B58:E58)-SUM($B56:F56),  IF(COUNTIF($B$63:E$63,"X")&gt;0,0,MIN(ROUND(F54-F57,2),F59)))</f>
        <v>7269.04</v>
      </c>
      <c r="G58" s="11">
        <f>MAX(-SUM($B58:F58)-SUM($B56:G56),  IF(COUNTIF($B$63:F$63,"X")&gt;0,0,MIN(ROUND(G54-G57,2),G59)))</f>
        <v>-2370.23</v>
      </c>
      <c r="H58" s="11">
        <f>MAX(-SUM($B58:G58)-SUM($B56:H56),  IF(COUNTIF($B$63:G$63,"X")&gt;0,0,MIN(ROUND(H54-H57,2),H59)))</f>
        <v>-4062.66</v>
      </c>
      <c r="I58" s="11">
        <f>MAX(-SUM($B58:H58)-SUM($B56:I56),  IF(COUNTIF($B$63:H$63,"X")&gt;0,0,MIN(ROUND(I54-I57,2),I59)))</f>
        <v>-5410.96</v>
      </c>
      <c r="J58" s="11">
        <f>MAX(-SUM($B58:I58)-SUM($B56:J56),  IF(COUNTIF($B$63:I$63,"X")&gt;0,0,MIN(ROUND(J54-J57,2),J59)))</f>
        <v>-5410.97</v>
      </c>
      <c r="K58" s="11">
        <f>MAX(-SUM($B58:J58)-SUM($B56:K56),  IF(COUNTIF($B$63:J$63,"X")&gt;0,0,MIN(ROUND(K54-K57,2),K59)))</f>
        <v>-1246.1500000000001</v>
      </c>
      <c r="L58" s="11">
        <f>MAX(-SUM($B58:K58)-SUM($B56:L56),  IF(COUNTIF($B$63:K$63,"X")&gt;0,0,MIN(ROUND(L54-L57,2),L59)))</f>
        <v>1672.05</v>
      </c>
      <c r="M58" s="11">
        <f>MAX(-SUM($B58:L58)-SUM($B56:M56),  IF(COUNTIF($B$63:L$63,"X")&gt;0,0,MIN(ROUND(M54-M57,2),M59)))</f>
        <v>-2369.2800000000002</v>
      </c>
      <c r="N58" s="8">
        <f>SUM(B58:M58)</f>
        <v>10226.869999999999</v>
      </c>
    </row>
    <row r="59" spans="1:14" s="26" customFormat="1" x14ac:dyDescent="0.2">
      <c r="A59" s="24" t="s">
        <v>30</v>
      </c>
      <c r="B59" s="25">
        <f>(SUM(B3:B5,,B63:B65)) *0.35</f>
        <v>57656.666666666657</v>
      </c>
      <c r="C59" s="25">
        <f t="shared" ref="C59:M59" si="17">(SUM(C3:C5,C63:C65)) *0.35</f>
        <v>53083.333333333328</v>
      </c>
      <c r="D59" s="25">
        <f t="shared" si="17"/>
        <v>88083.333333333328</v>
      </c>
      <c r="E59" s="25">
        <f t="shared" si="17"/>
        <v>54979.166666666664</v>
      </c>
      <c r="F59" s="25">
        <f t="shared" si="17"/>
        <v>54979.166666666664</v>
      </c>
      <c r="G59" s="25">
        <f t="shared" si="17"/>
        <v>33541.666666666664</v>
      </c>
      <c r="H59" s="25">
        <f t="shared" si="17"/>
        <v>60666.666666666664</v>
      </c>
      <c r="I59" s="25">
        <f t="shared" si="17"/>
        <v>54979.166666666664</v>
      </c>
      <c r="J59" s="25">
        <f t="shared" si="17"/>
        <v>64458.333333333328</v>
      </c>
      <c r="K59" s="25">
        <f t="shared" si="17"/>
        <v>75833.333333333328</v>
      </c>
      <c r="L59" s="25">
        <f t="shared" si="17"/>
        <v>75833.333333333328</v>
      </c>
      <c r="M59" s="25">
        <f t="shared" si="17"/>
        <v>44479.166666666664</v>
      </c>
    </row>
    <row r="60" spans="1:14" s="26" customFormat="1" x14ac:dyDescent="0.2">
      <c r="A60" s="24" t="s">
        <v>60</v>
      </c>
      <c r="B60" s="25">
        <f t="shared" ref="B60:M60" si="18">MAX(0,ROUND(B43-B57,2)-B58)</f>
        <v>0</v>
      </c>
      <c r="C60" s="25">
        <f t="shared" si="18"/>
        <v>0</v>
      </c>
      <c r="D60" s="25">
        <f t="shared" si="18"/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5">
        <f t="shared" si="18"/>
        <v>0</v>
      </c>
      <c r="K60" s="25">
        <f t="shared" si="18"/>
        <v>0</v>
      </c>
      <c r="L60" s="25">
        <f t="shared" si="18"/>
        <v>0</v>
      </c>
      <c r="M60" s="25">
        <f t="shared" si="18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6" customFormat="1" x14ac:dyDescent="0.2">
      <c r="A62" s="119" t="s">
        <v>84</v>
      </c>
      <c r="B62" s="90"/>
      <c r="C62" s="90"/>
      <c r="D62" s="90"/>
      <c r="E62" s="90"/>
      <c r="F62" s="90"/>
      <c r="G62" s="90"/>
      <c r="H62" s="90">
        <f>H58+H56</f>
        <v>1348.3071455555582</v>
      </c>
      <c r="I62" s="90">
        <f t="shared" ref="I62:M62" si="19">I58+I56</f>
        <v>7.1455555580541841E-3</v>
      </c>
      <c r="J62" s="90">
        <f t="shared" si="19"/>
        <v>-2.8544444421640947E-3</v>
      </c>
      <c r="K62" s="90">
        <f t="shared" si="19"/>
        <v>4164.8171455555585</v>
      </c>
      <c r="L62" s="90">
        <f t="shared" si="19"/>
        <v>7083.0171455555583</v>
      </c>
      <c r="M62" s="90">
        <f t="shared" si="19"/>
        <v>-2369.2800000000002</v>
      </c>
    </row>
    <row r="63" spans="1:14" s="30" customFormat="1" x14ac:dyDescent="0.2">
      <c r="A63" s="28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4" x14ac:dyDescent="0.2">
      <c r="A64" s="39" t="s">
        <v>35</v>
      </c>
      <c r="B64" s="58">
        <f>140000/150*14</f>
        <v>13066.666666666668</v>
      </c>
      <c r="C64" s="58">
        <v>0</v>
      </c>
      <c r="D64" s="58">
        <v>0</v>
      </c>
      <c r="E64" s="58">
        <v>0</v>
      </c>
      <c r="F64" s="58">
        <v>0</v>
      </c>
      <c r="G64" s="58"/>
      <c r="H64" s="16"/>
      <c r="I64" s="15"/>
      <c r="J64" s="17"/>
      <c r="K64" s="17"/>
      <c r="L64" s="17"/>
      <c r="M64" s="17"/>
      <c r="N64" s="3"/>
    </row>
    <row r="65" spans="1:17" x14ac:dyDescent="0.2">
      <c r="A65" s="39" t="s">
        <v>28</v>
      </c>
      <c r="B65" s="58">
        <v>0</v>
      </c>
      <c r="C65" s="58">
        <v>0</v>
      </c>
      <c r="D65" s="58">
        <v>100000</v>
      </c>
      <c r="E65" s="58">
        <v>0</v>
      </c>
      <c r="F65" s="58">
        <v>0</v>
      </c>
      <c r="G65" s="58"/>
      <c r="H65" s="16"/>
      <c r="I65" s="16"/>
      <c r="J65" s="16"/>
      <c r="K65" s="16"/>
      <c r="L65" s="17"/>
      <c r="M65" s="17"/>
      <c r="N65" s="3"/>
    </row>
    <row r="66" spans="1:17" s="37" customFormat="1" x14ac:dyDescent="0.2">
      <c r="A66" s="35" t="str">
        <f>A64&amp;" (Ap)"</f>
        <v>Prorrateo Vacaciones (Ap)</v>
      </c>
      <c r="B66" s="96">
        <f>B64*(0.17+$B$72)</f>
        <v>2221.3333333333335</v>
      </c>
      <c r="C66" s="96">
        <f t="shared" ref="C66:M66" si="20">C64*(0.17+$B$72)</f>
        <v>0</v>
      </c>
      <c r="D66" s="96">
        <f t="shared" si="20"/>
        <v>0</v>
      </c>
      <c r="E66" s="96">
        <f t="shared" si="20"/>
        <v>0</v>
      </c>
      <c r="F66" s="96">
        <f t="shared" si="20"/>
        <v>0</v>
      </c>
      <c r="G66" s="96">
        <f t="shared" si="20"/>
        <v>0</v>
      </c>
      <c r="H66" s="96">
        <f t="shared" si="20"/>
        <v>0</v>
      </c>
      <c r="I66" s="96">
        <f t="shared" si="20"/>
        <v>0</v>
      </c>
      <c r="J66" s="96">
        <f t="shared" si="20"/>
        <v>0</v>
      </c>
      <c r="K66" s="96">
        <f t="shared" si="20"/>
        <v>0</v>
      </c>
      <c r="L66" s="96">
        <f t="shared" si="20"/>
        <v>0</v>
      </c>
      <c r="M66" s="96">
        <f t="shared" si="20"/>
        <v>0</v>
      </c>
      <c r="N66" s="36"/>
    </row>
    <row r="67" spans="1:17" s="37" customFormat="1" x14ac:dyDescent="0.2">
      <c r="A67" s="35" t="str">
        <f>A65&amp;" (Ap)"</f>
        <v>Prorrateo Premios (Ap)</v>
      </c>
      <c r="B67" s="96">
        <f t="shared" ref="B67:M67" si="21">B65*(0.17+$B$72)</f>
        <v>0</v>
      </c>
      <c r="C67" s="96">
        <f t="shared" si="21"/>
        <v>0</v>
      </c>
      <c r="D67" s="96">
        <f t="shared" si="21"/>
        <v>17000</v>
      </c>
      <c r="E67" s="96">
        <f t="shared" si="21"/>
        <v>0</v>
      </c>
      <c r="F67" s="96">
        <f t="shared" si="21"/>
        <v>0</v>
      </c>
      <c r="G67" s="96">
        <f t="shared" si="21"/>
        <v>0</v>
      </c>
      <c r="H67" s="96">
        <f t="shared" si="21"/>
        <v>0</v>
      </c>
      <c r="I67" s="96">
        <f t="shared" si="21"/>
        <v>0</v>
      </c>
      <c r="J67" s="96">
        <f t="shared" si="21"/>
        <v>0</v>
      </c>
      <c r="K67" s="96">
        <f t="shared" si="21"/>
        <v>0</v>
      </c>
      <c r="L67" s="96">
        <f t="shared" si="21"/>
        <v>0</v>
      </c>
      <c r="M67" s="96">
        <f t="shared" si="21"/>
        <v>0</v>
      </c>
      <c r="N67" s="36"/>
    </row>
    <row r="68" spans="1:17" x14ac:dyDescent="0.2">
      <c r="A68" s="31"/>
      <c r="B68" s="59"/>
      <c r="C68" s="59"/>
      <c r="D68" s="59"/>
      <c r="E68" s="59"/>
      <c r="F68" s="91"/>
      <c r="J68" s="93"/>
    </row>
    <row r="69" spans="1:17" x14ac:dyDescent="0.2">
      <c r="A69" s="31" t="s">
        <v>20</v>
      </c>
      <c r="B69" s="33">
        <v>0</v>
      </c>
      <c r="C69" s="22">
        <f t="shared" ref="C69:M71" si="22">B69</f>
        <v>0</v>
      </c>
      <c r="D69" s="22">
        <f t="shared" si="22"/>
        <v>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3"/>
    </row>
    <row r="70" spans="1:17" x14ac:dyDescent="0.2">
      <c r="A70" s="31" t="s">
        <v>21</v>
      </c>
      <c r="B70" s="33">
        <v>2</v>
      </c>
      <c r="C70" s="22">
        <f t="shared" ref="C70" si="23">B70</f>
        <v>2</v>
      </c>
      <c r="D70" s="22">
        <f t="shared" ref="D70" si="24">C70</f>
        <v>2</v>
      </c>
      <c r="E70" s="22">
        <f t="shared" ref="E70" si="25">D70</f>
        <v>2</v>
      </c>
      <c r="F70" s="22">
        <f t="shared" ref="F70" si="26">E70</f>
        <v>2</v>
      </c>
      <c r="G70" s="22">
        <f t="shared" ref="G70" si="27">F70</f>
        <v>2</v>
      </c>
      <c r="H70" s="22">
        <f t="shared" ref="H70" si="28">G70</f>
        <v>2</v>
      </c>
      <c r="I70" s="22">
        <f t="shared" ref="I70" si="29">H70</f>
        <v>2</v>
      </c>
      <c r="J70" s="22">
        <f t="shared" ref="J70" si="30">I70</f>
        <v>2</v>
      </c>
      <c r="K70" s="22">
        <f t="shared" ref="K70" si="31">J70</f>
        <v>2</v>
      </c>
      <c r="L70" s="22">
        <f t="shared" ref="L70" si="32">K70</f>
        <v>2</v>
      </c>
      <c r="M70" s="22">
        <f t="shared" ref="M70" si="33">L70</f>
        <v>2</v>
      </c>
      <c r="N70" s="23"/>
    </row>
    <row r="71" spans="1:17" x14ac:dyDescent="0.2">
      <c r="A71" s="124" t="s">
        <v>88</v>
      </c>
      <c r="B71" s="33">
        <v>0</v>
      </c>
      <c r="C71" s="22">
        <f t="shared" si="22"/>
        <v>0</v>
      </c>
      <c r="D71" s="22">
        <f t="shared" si="22"/>
        <v>0</v>
      </c>
      <c r="E71" s="22">
        <f t="shared" si="22"/>
        <v>0</v>
      </c>
      <c r="F71" s="22">
        <f t="shared" si="22"/>
        <v>0</v>
      </c>
      <c r="G71" s="22">
        <f t="shared" si="22"/>
        <v>0</v>
      </c>
      <c r="H71" s="22">
        <f t="shared" si="22"/>
        <v>0</v>
      </c>
      <c r="I71" s="22">
        <f t="shared" si="22"/>
        <v>0</v>
      </c>
      <c r="J71" s="22">
        <f t="shared" si="22"/>
        <v>0</v>
      </c>
      <c r="K71" s="22">
        <f t="shared" si="22"/>
        <v>0</v>
      </c>
      <c r="L71" s="22">
        <f t="shared" si="22"/>
        <v>0</v>
      </c>
      <c r="M71" s="22">
        <f t="shared" si="22"/>
        <v>0</v>
      </c>
      <c r="N71" s="23"/>
    </row>
    <row r="72" spans="1:17" x14ac:dyDescent="0.2">
      <c r="A72" s="52" t="s">
        <v>47</v>
      </c>
      <c r="B72" s="53">
        <v>0</v>
      </c>
      <c r="F72" s="64"/>
      <c r="J72" s="12"/>
      <c r="K72" s="12"/>
      <c r="L72" s="12"/>
      <c r="M72" s="12"/>
    </row>
    <row r="74" spans="1:17" x14ac:dyDescent="0.2">
      <c r="B74" s="64"/>
    </row>
    <row r="75" spans="1:17" s="99" customFormat="1" ht="12.75" x14ac:dyDescent="0.25">
      <c r="A75" s="104" t="s">
        <v>72</v>
      </c>
      <c r="B75" s="104">
        <f t="shared" ref="B75:M75" si="34">SUM(B3:B4,B64:B65)</f>
        <v>153066.66666666666</v>
      </c>
      <c r="C75" s="104">
        <f t="shared" si="34"/>
        <v>140000</v>
      </c>
      <c r="D75" s="104">
        <f t="shared" si="34"/>
        <v>240000</v>
      </c>
      <c r="E75" s="104">
        <f t="shared" si="34"/>
        <v>145000</v>
      </c>
      <c r="F75" s="104">
        <f t="shared" si="34"/>
        <v>145000</v>
      </c>
      <c r="G75" s="104">
        <f t="shared" si="34"/>
        <v>155000</v>
      </c>
      <c r="H75" s="104">
        <f t="shared" si="34"/>
        <v>160000</v>
      </c>
      <c r="I75" s="104">
        <f t="shared" si="34"/>
        <v>145000</v>
      </c>
      <c r="J75" s="104">
        <f t="shared" si="34"/>
        <v>170000</v>
      </c>
      <c r="K75" s="104">
        <f t="shared" si="34"/>
        <v>200000</v>
      </c>
      <c r="L75" s="104">
        <f t="shared" si="34"/>
        <v>200000</v>
      </c>
      <c r="M75" s="104">
        <f t="shared" si="34"/>
        <v>200000</v>
      </c>
      <c r="O75" s="105"/>
      <c r="P75" s="105"/>
      <c r="Q75" s="24"/>
    </row>
    <row r="76" spans="1:17" s="99" customFormat="1" x14ac:dyDescent="0.2">
      <c r="A76" s="104" t="s">
        <v>73</v>
      </c>
      <c r="B76" s="104">
        <f>AVERAGE($B75:B75)</f>
        <v>153066.66666666666</v>
      </c>
      <c r="C76" s="104">
        <f>AVERAGE($B75:C75)</f>
        <v>146533.33333333331</v>
      </c>
      <c r="D76" s="104">
        <f>AVERAGE($B75:D75)</f>
        <v>177688.88888888888</v>
      </c>
      <c r="E76" s="104">
        <f>AVERAGE($B75:E75)</f>
        <v>169516.66666666666</v>
      </c>
      <c r="F76" s="104">
        <f>AVERAGE($B75:F75)</f>
        <v>164613.33333333331</v>
      </c>
      <c r="G76" s="104">
        <f>AVERAGE($B75:G75)</f>
        <v>163011.11111111109</v>
      </c>
      <c r="H76" s="104">
        <f>AVERAGE($B75:H75)</f>
        <v>162580.95238095237</v>
      </c>
      <c r="I76" s="104">
        <f>AVERAGE($B75:I75)</f>
        <v>160383.33333333331</v>
      </c>
      <c r="J76" s="106">
        <f>AVERAGE($J75:J75)</f>
        <v>170000</v>
      </c>
      <c r="K76" s="106">
        <f>AVERAGE($J75:K75)</f>
        <v>185000</v>
      </c>
      <c r="L76" s="106">
        <f>AVERAGE($J75:L75)</f>
        <v>190000</v>
      </c>
      <c r="M76" s="106">
        <f>AVERAGE($J75:M75)</f>
        <v>192500</v>
      </c>
      <c r="O76" s="107"/>
      <c r="P76" s="108"/>
      <c r="Q76" s="109"/>
    </row>
    <row r="77" spans="1:17" s="99" customFormat="1" x14ac:dyDescent="0.2">
      <c r="A77" s="104" t="s">
        <v>74</v>
      </c>
      <c r="B77" s="104">
        <f>MIN(B75:B76)</f>
        <v>153066.66666666666</v>
      </c>
      <c r="C77" s="104">
        <f t="shared" ref="C77:M77" si="35">MIN(C75:C76)</f>
        <v>140000</v>
      </c>
      <c r="D77" s="104">
        <f t="shared" si="35"/>
        <v>177688.88888888888</v>
      </c>
      <c r="E77" s="104">
        <f t="shared" si="35"/>
        <v>145000</v>
      </c>
      <c r="F77" s="104">
        <f t="shared" si="35"/>
        <v>145000</v>
      </c>
      <c r="G77" s="104">
        <f t="shared" si="35"/>
        <v>155000</v>
      </c>
      <c r="H77" s="104">
        <f t="shared" si="35"/>
        <v>160000</v>
      </c>
      <c r="I77" s="104">
        <f t="shared" si="35"/>
        <v>145000</v>
      </c>
      <c r="J77" s="104">
        <f t="shared" si="35"/>
        <v>170000</v>
      </c>
      <c r="K77" s="104">
        <f t="shared" si="35"/>
        <v>185000</v>
      </c>
      <c r="L77" s="104">
        <f t="shared" si="35"/>
        <v>190000</v>
      </c>
      <c r="M77" s="104">
        <f t="shared" si="35"/>
        <v>192500</v>
      </c>
      <c r="O77" s="107"/>
      <c r="P77" s="108"/>
      <c r="Q77" s="109"/>
    </row>
    <row r="78" spans="1:17" s="99" customForma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O78" s="107"/>
      <c r="P78" s="108"/>
      <c r="Q78" s="109"/>
    </row>
    <row r="79" spans="1:17" s="99" customFormat="1" ht="13.5" x14ac:dyDescent="0.35">
      <c r="A79" s="110" t="s">
        <v>75</v>
      </c>
      <c r="G79" s="114" t="s">
        <v>78</v>
      </c>
      <c r="H79" s="111"/>
      <c r="J79" s="112"/>
      <c r="K79" s="112"/>
      <c r="L79" s="112"/>
      <c r="M79" s="112"/>
      <c r="O79" s="107"/>
      <c r="P79" s="108"/>
      <c r="Q79" s="109"/>
    </row>
    <row r="80" spans="1:17" s="99" customFormat="1" x14ac:dyDescent="0.2">
      <c r="A80" s="113" t="s">
        <v>76</v>
      </c>
      <c r="B80" s="113">
        <f>IF(B77&lt;150000, MAX(0,B11+B16-SUM(B18:B27,B32:B37)),0)</f>
        <v>0</v>
      </c>
      <c r="C80" s="113">
        <f>IF(C77&lt;150000, MAX(0,C11+C16-SUM(C18:C27,C32:C37)),0)</f>
        <v>32603.704444444462</v>
      </c>
      <c r="D80" s="113">
        <f>IF(D77&lt;150000, MAX(0,D11+D16-SUM(D18:D27,D32:D37)),0)</f>
        <v>0</v>
      </c>
      <c r="E80" s="113">
        <f>IF(E77&lt;150000, MAX(0,E11+E16-SUM(E18:E27,E32:E37)),0)</f>
        <v>45399.53777777779</v>
      </c>
      <c r="F80" s="113">
        <f>IF(F77&lt;150000, MAX(0,F11+F16-SUM(F18:F27,F32:F37)),0)</f>
        <v>45399.53777777779</v>
      </c>
      <c r="G80" s="86">
        <f>SUM(B80:F80)</f>
        <v>123402.78000000004</v>
      </c>
      <c r="H80" s="111"/>
      <c r="J80" s="112"/>
      <c r="K80" s="112"/>
      <c r="L80" s="112"/>
      <c r="M80" s="112"/>
      <c r="O80" s="107"/>
      <c r="P80" s="108"/>
      <c r="Q80" s="109"/>
    </row>
    <row r="81" spans="1:19" s="99" customFormat="1" x14ac:dyDescent="0.2">
      <c r="A81" s="113" t="s">
        <v>77</v>
      </c>
      <c r="B81" s="113">
        <f>VLOOKUP(B77,Tablas!$G:$H,2)</f>
        <v>35221</v>
      </c>
      <c r="C81" s="113">
        <f>VLOOKUP(C77,Tablas!$G:$H,2)</f>
        <v>0</v>
      </c>
      <c r="D81" s="113">
        <f>VLOOKUP(D77,Tablas!$G:$H,2)</f>
        <v>0</v>
      </c>
      <c r="E81" s="113">
        <f>VLOOKUP(E77,Tablas!$G:$H,2)</f>
        <v>0</v>
      </c>
      <c r="F81" s="113">
        <f>VLOOKUP(F77,Tablas!$G:$H,2)</f>
        <v>0</v>
      </c>
      <c r="G81" s="86">
        <f>SUM(B81:F81)</f>
        <v>35221</v>
      </c>
      <c r="H81" s="111"/>
      <c r="J81" s="112"/>
      <c r="K81" s="112"/>
      <c r="L81" s="112"/>
      <c r="M81" s="112"/>
      <c r="O81" s="107"/>
      <c r="P81" s="108"/>
      <c r="Q81" s="109"/>
    </row>
    <row r="83" spans="1:19" x14ac:dyDescent="0.2">
      <c r="F83" s="115" t="s">
        <v>81</v>
      </c>
      <c r="G83" s="86">
        <f>F42-G80-G81</f>
        <v>38286.40888888888</v>
      </c>
      <c r="H83" s="116">
        <f>VLOOKUP(MAX(0,G83),Tablas!$A$61:$D$70,4)</f>
        <v>0.09</v>
      </c>
    </row>
    <row r="84" spans="1:19" x14ac:dyDescent="0.2">
      <c r="F84" s="115" t="s">
        <v>80</v>
      </c>
      <c r="G84" s="86">
        <f>F53-G80-G81</f>
        <v>38286.40888888888</v>
      </c>
    </row>
    <row r="85" spans="1:19" x14ac:dyDescent="0.2">
      <c r="F85" s="115" t="s">
        <v>79</v>
      </c>
      <c r="G85" s="86">
        <f>MAX(0,MIN(SUM($B48:F48)-SUM($B50:F50),G84)*H83+VLOOKUP(G83,Tablas!$A$61:$D$70,3)+(G83-VLOOKUP(G83,Tablas!$A$61:$D$70,1))*VLOOKUP(G83,Tablas!$A$61:$D$70,4))</f>
        <v>2370.2327999999989</v>
      </c>
    </row>
    <row r="87" spans="1:19" s="2" customFormat="1" x14ac:dyDescent="0.2">
      <c r="A87" s="4"/>
      <c r="B87" s="5"/>
      <c r="C87" s="5"/>
      <c r="D87" s="5"/>
      <c r="E87" s="5"/>
      <c r="F87" s="115" t="s">
        <v>82</v>
      </c>
      <c r="G87" s="86">
        <f>F54-G85</f>
        <v>27054.83572777779</v>
      </c>
      <c r="I87" s="5"/>
      <c r="J87" s="13"/>
      <c r="K87" s="13"/>
      <c r="L87" s="13"/>
      <c r="M87" s="13"/>
      <c r="N87" s="5"/>
      <c r="O87" s="5"/>
      <c r="P87" s="5"/>
      <c r="Q87" s="5"/>
      <c r="R87" s="5"/>
      <c r="S87" s="5"/>
    </row>
  </sheetData>
  <conditionalFormatting sqref="A63 E63:J63">
    <cfRule type="cellIs" dxfId="8" priority="3" stopIfTrue="1" operator="equal">
      <formula>"x"</formula>
    </cfRule>
  </conditionalFormatting>
  <conditionalFormatting sqref="K63:M63">
    <cfRule type="cellIs" dxfId="7" priority="2" stopIfTrue="1" operator="equal">
      <formula>"x"</formula>
    </cfRule>
  </conditionalFormatting>
  <conditionalFormatting sqref="B63:D63">
    <cfRule type="cellIs" dxfId="6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EF9F-F7E3-4EBF-B1A2-B457BE10D2F2}">
  <sheetPr>
    <pageSetUpPr fitToPage="1"/>
  </sheetPr>
  <dimension ref="A1:S87"/>
  <sheetViews>
    <sheetView zoomScaleNormal="100" workbookViewId="0">
      <pane xSplit="1" ySplit="2" topLeftCell="B3" activePane="bottomRight" state="frozen"/>
      <selection activeCell="J4" sqref="J4"/>
      <selection pane="topRight" activeCell="J4" sqref="J4"/>
      <selection pane="bottomLeft" activeCell="J4" sqref="J4"/>
      <selection pane="bottomRight" activeCell="M30" sqref="M30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4"/>
      <c r="P1" s="64"/>
      <c r="Q1" s="64"/>
      <c r="S1" s="64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14</v>
      </c>
      <c r="I2" s="6" t="s">
        <v>15</v>
      </c>
      <c r="J2" s="14" t="s">
        <v>16</v>
      </c>
      <c r="K2" s="14" t="s">
        <v>17</v>
      </c>
      <c r="L2" s="14" t="s">
        <v>18</v>
      </c>
      <c r="M2" s="14" t="s">
        <v>19</v>
      </c>
      <c r="N2" s="7" t="s">
        <v>27</v>
      </c>
    </row>
    <row r="3" spans="1:19" x14ac:dyDescent="0.2">
      <c r="A3" s="4" t="s">
        <v>7</v>
      </c>
      <c r="B3" s="79">
        <v>130000</v>
      </c>
      <c r="C3" s="79">
        <v>130000</v>
      </c>
      <c r="D3" s="79">
        <v>140000</v>
      </c>
      <c r="E3" s="79">
        <v>140000</v>
      </c>
      <c r="F3" s="79">
        <v>160000</v>
      </c>
      <c r="G3" s="79">
        <v>150000</v>
      </c>
      <c r="H3" s="79">
        <v>150000</v>
      </c>
      <c r="I3" s="79">
        <v>160000</v>
      </c>
      <c r="J3" s="79">
        <v>160000</v>
      </c>
      <c r="K3" s="79">
        <v>170000</v>
      </c>
      <c r="L3" s="79">
        <v>190000</v>
      </c>
      <c r="M3" s="79">
        <v>190000</v>
      </c>
      <c r="N3" s="8">
        <f>SUM(B3:M3)</f>
        <v>1870000</v>
      </c>
      <c r="O3" s="3"/>
      <c r="P3" s="3"/>
      <c r="Q3" s="64"/>
    </row>
    <row r="4" spans="1:19" x14ac:dyDescent="0.2">
      <c r="A4" s="95" t="s">
        <v>58</v>
      </c>
      <c r="B4" s="79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8">
        <f t="shared" ref="N4:N39" si="0">SUM(B4:M4)</f>
        <v>0</v>
      </c>
      <c r="P4" s="73"/>
    </row>
    <row r="5" spans="1:19" x14ac:dyDescent="0.2">
      <c r="A5" s="42" t="s">
        <v>36</v>
      </c>
      <c r="B5" s="58">
        <f>B3/12</f>
        <v>10833.333333333334</v>
      </c>
      <c r="C5" s="58">
        <f>C3/12</f>
        <v>10833.333333333334</v>
      </c>
      <c r="D5" s="58">
        <f>D3/12</f>
        <v>11666.666666666666</v>
      </c>
      <c r="E5" s="58">
        <f>E3/12</f>
        <v>11666.666666666666</v>
      </c>
      <c r="F5" s="58">
        <f>F3/12</f>
        <v>13333.333333333334</v>
      </c>
      <c r="G5" s="120">
        <f>-SUM(B5:F5)</f>
        <v>-58333.333333333336</v>
      </c>
      <c r="H5" s="58">
        <f t="shared" ref="H5:L6" si="1">H3/12</f>
        <v>12500</v>
      </c>
      <c r="I5" s="58">
        <f t="shared" si="1"/>
        <v>13333.333333333334</v>
      </c>
      <c r="J5" s="58">
        <f t="shared" si="1"/>
        <v>13333.333333333334</v>
      </c>
      <c r="K5" s="58">
        <f t="shared" si="1"/>
        <v>14166.666666666666</v>
      </c>
      <c r="L5" s="58">
        <f t="shared" si="1"/>
        <v>15833.333333333334</v>
      </c>
      <c r="M5" s="120">
        <f>-SUM(H5:L5)</f>
        <v>-69166.666666666672</v>
      </c>
      <c r="N5" s="8">
        <f t="shared" si="0"/>
        <v>0</v>
      </c>
    </row>
    <row r="6" spans="1:19" x14ac:dyDescent="0.2">
      <c r="A6" s="122" t="s">
        <v>86</v>
      </c>
      <c r="B6" s="58"/>
      <c r="C6" s="58"/>
      <c r="D6" s="58"/>
      <c r="E6" s="58"/>
      <c r="F6" s="58"/>
      <c r="G6" s="120">
        <f>MAX(B3:G3)/2</f>
        <v>80000</v>
      </c>
      <c r="H6" s="58">
        <f t="shared" si="1"/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120">
        <f>MAX(H3:M3)/2</f>
        <v>95000</v>
      </c>
      <c r="N6" s="8">
        <f t="shared" si="0"/>
        <v>175000</v>
      </c>
    </row>
    <row r="7" spans="1:19" s="89" customFormat="1" x14ac:dyDescent="0.2">
      <c r="A7" s="87" t="s">
        <v>87</v>
      </c>
      <c r="B7" s="117"/>
      <c r="C7" s="117"/>
      <c r="D7" s="117"/>
      <c r="E7" s="117"/>
      <c r="F7" s="117"/>
      <c r="G7" s="121">
        <f>IF(G76&lt;=150000,-G6,0)</f>
        <v>-80000</v>
      </c>
      <c r="H7" s="117"/>
      <c r="I7" s="117"/>
      <c r="J7" s="117"/>
      <c r="K7" s="117"/>
      <c r="L7" s="117"/>
      <c r="M7" s="121">
        <f>IF(M76&lt;=175000,-M6,0)</f>
        <v>0</v>
      </c>
      <c r="N7" s="88">
        <f t="shared" si="0"/>
        <v>-80000</v>
      </c>
      <c r="P7" s="90"/>
      <c r="Q7" s="90"/>
    </row>
    <row r="8" spans="1:19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9" x14ac:dyDescent="0.2">
      <c r="A9" s="95" t="s">
        <v>61</v>
      </c>
      <c r="B9" s="58">
        <f t="shared" ref="B9:M9" si="2">B3*(0.17+$B$72)</f>
        <v>22100</v>
      </c>
      <c r="C9" s="58">
        <f t="shared" si="2"/>
        <v>22100</v>
      </c>
      <c r="D9" s="58">
        <f t="shared" si="2"/>
        <v>23800</v>
      </c>
      <c r="E9" s="58">
        <f t="shared" si="2"/>
        <v>23800</v>
      </c>
      <c r="F9" s="58">
        <f t="shared" si="2"/>
        <v>27200.000000000004</v>
      </c>
      <c r="G9" s="58">
        <f t="shared" si="2"/>
        <v>25500.000000000004</v>
      </c>
      <c r="H9" s="58">
        <f t="shared" si="2"/>
        <v>25500.000000000004</v>
      </c>
      <c r="I9" s="58">
        <f t="shared" si="2"/>
        <v>27200.000000000004</v>
      </c>
      <c r="J9" s="58">
        <f t="shared" si="2"/>
        <v>27200.000000000004</v>
      </c>
      <c r="K9" s="58">
        <f t="shared" si="2"/>
        <v>28900.000000000004</v>
      </c>
      <c r="L9" s="58">
        <f t="shared" si="2"/>
        <v>32300.000000000004</v>
      </c>
      <c r="M9" s="58">
        <f t="shared" si="2"/>
        <v>32300.000000000004</v>
      </c>
      <c r="N9" s="8">
        <f t="shared" si="0"/>
        <v>317900</v>
      </c>
    </row>
    <row r="10" spans="1:19" x14ac:dyDescent="0.2">
      <c r="A10" s="43" t="s">
        <v>37</v>
      </c>
      <c r="B10" s="80">
        <f>B9/12</f>
        <v>1841.6666666666667</v>
      </c>
      <c r="C10" s="80">
        <f t="shared" ref="C10:M10" si="3">C9/12</f>
        <v>1841.6666666666667</v>
      </c>
      <c r="D10" s="80">
        <f t="shared" si="3"/>
        <v>1983.3333333333333</v>
      </c>
      <c r="E10" s="80">
        <f t="shared" si="3"/>
        <v>1983.3333333333333</v>
      </c>
      <c r="F10" s="80">
        <f t="shared" si="3"/>
        <v>2266.666666666667</v>
      </c>
      <c r="G10" s="80">
        <f t="shared" si="3"/>
        <v>2125.0000000000005</v>
      </c>
      <c r="H10" s="80">
        <f t="shared" si="3"/>
        <v>2125.0000000000005</v>
      </c>
      <c r="I10" s="80">
        <f t="shared" si="3"/>
        <v>2266.666666666667</v>
      </c>
      <c r="J10" s="80">
        <f t="shared" si="3"/>
        <v>2266.666666666667</v>
      </c>
      <c r="K10" s="80">
        <f t="shared" si="3"/>
        <v>2408.3333333333335</v>
      </c>
      <c r="L10" s="80">
        <f t="shared" si="3"/>
        <v>2691.666666666667</v>
      </c>
      <c r="M10" s="80">
        <f t="shared" si="3"/>
        <v>2691.666666666667</v>
      </c>
      <c r="N10" s="8">
        <f t="shared" si="0"/>
        <v>26491.666666666672</v>
      </c>
    </row>
    <row r="11" spans="1:19" x14ac:dyDescent="0.2">
      <c r="A11" s="9" t="s">
        <v>9</v>
      </c>
      <c r="B11" s="9">
        <f>SUM(B3:B6)-SUM(B9:B10)</f>
        <v>116891.66666666667</v>
      </c>
      <c r="C11" s="9">
        <f t="shared" ref="C11:M11" si="4">SUM(C3:C6)-SUM(C9:C10)</f>
        <v>116891.66666666667</v>
      </c>
      <c r="D11" s="9">
        <f t="shared" si="4"/>
        <v>125883.33333333333</v>
      </c>
      <c r="E11" s="9">
        <f t="shared" si="4"/>
        <v>125883.33333333333</v>
      </c>
      <c r="F11" s="9">
        <f t="shared" si="4"/>
        <v>143866.66666666669</v>
      </c>
      <c r="G11" s="9">
        <f t="shared" si="4"/>
        <v>144041.66666666666</v>
      </c>
      <c r="H11" s="9">
        <f t="shared" si="4"/>
        <v>134875</v>
      </c>
      <c r="I11" s="9">
        <f t="shared" si="4"/>
        <v>143866.66666666669</v>
      </c>
      <c r="J11" s="9">
        <f t="shared" si="4"/>
        <v>143866.66666666669</v>
      </c>
      <c r="K11" s="9">
        <f t="shared" si="4"/>
        <v>152858.33333333331</v>
      </c>
      <c r="L11" s="9">
        <f t="shared" si="4"/>
        <v>170841.66666666669</v>
      </c>
      <c r="M11" s="9">
        <f t="shared" si="4"/>
        <v>180841.66666666663</v>
      </c>
      <c r="N11" s="10">
        <f t="shared" si="0"/>
        <v>1700608.3333333335</v>
      </c>
    </row>
    <row r="12" spans="1:19" x14ac:dyDescent="0.2">
      <c r="B12" s="9"/>
      <c r="C12" s="64"/>
      <c r="D12" s="64"/>
      <c r="H12" s="9"/>
    </row>
    <row r="13" spans="1:19" x14ac:dyDescent="0.2">
      <c r="A13" s="38" t="s">
        <v>33</v>
      </c>
      <c r="B13" s="4">
        <f>IF(COUNTIF(C$63:$M$63,"A")&gt;0,0,SUM($B64:B65)/IF(B$63="x",1,(COUNTA(B$2:$M$2))))</f>
        <v>0</v>
      </c>
      <c r="C13" s="4">
        <f>IF(COUNTIF(D$63:$M$63,"A")&gt;0,0,(SUM($B64:C65)-SUM($B13:B13))/IF(C$63="x",1,COUNTA(C$2:$M$2)))</f>
        <v>0</v>
      </c>
      <c r="D13" s="4">
        <f>IF(COUNTIF(E$63:$M$63,"A")&gt;0,0,(SUM($B64:D65)-SUM($B13:C13))/IF(D$63="x",1,COUNTA(D$2:$M$2)))</f>
        <v>5000</v>
      </c>
      <c r="E13" s="4">
        <f>IF(COUNTIF(F$63:$M$63,"A")&gt;0,0,(SUM($B64:E65)-SUM($B13:D13))/IF(E$63="x",1,COUNTA(E$2:$M$2)))</f>
        <v>5000</v>
      </c>
      <c r="F13" s="4">
        <f>IF(COUNTIF(G$63:$M$63,"A")&gt;0,0,(SUM($B64:F65)-SUM($B13:E13))/IF(F$63="x",1,COUNTA(F$2:$M$2)))</f>
        <v>5000</v>
      </c>
      <c r="G13" s="4">
        <f>IF(COUNTIF(H$63:$M$63,"A")&gt;0,0,(SUM($B64:G65)-SUM($B13:F13))/IF(G$63="x",1,COUNTA(G$2:$M$2)))</f>
        <v>5000</v>
      </c>
      <c r="H13" s="4">
        <f>IF(COUNTIF(I$63:$M$63,"A")&gt;0,0,(SUM($B64:H65)-SUM($B13:G13))/IF(H$63="x",1,COUNTA(H$2:$M$2)))</f>
        <v>5000</v>
      </c>
      <c r="I13" s="4">
        <f>IF(COUNTIF(J$63:$M$63,"A")&gt;0,0,(SUM($B64:I65)-SUM($B13:H13))/IF(I$63="x",1,COUNTA(I$2:$M$2)))</f>
        <v>5000</v>
      </c>
      <c r="J13" s="4">
        <f>IF(COUNTIF(K$63:$M$63,"A")&gt;0,0,(SUM($B64:J65)-SUM($B13:I13))/IF(J$63="x",1,COUNTA(J$2:$M$2)))</f>
        <v>5000</v>
      </c>
      <c r="K13" s="4">
        <f>IF(COUNTIF(L$63:$M$63,"A")&gt;0,0,(SUM($B64:K65)-SUM($B13:J13))/IF(K$63="x",1,COUNTA(K$2:$M$2)))</f>
        <v>5000</v>
      </c>
      <c r="L13" s="4">
        <f>IF(COUNTIF(M$63:$M$63,"A")&gt;0,0,(SUM($B64:L65)-SUM($B13:K13))/IF(L$63="x",1,COUNTA(L$2:$M$2)))</f>
        <v>5000</v>
      </c>
      <c r="M13" s="4">
        <f>IF(COUNTIF($M$63:N$63,"A")&gt;0,0,(SUM($B64:M65)-SUM($B13:L13))/IF(M$63="x",1,COUNTA(M$2:$M$2)))</f>
        <v>5000</v>
      </c>
      <c r="N13" s="8">
        <f t="shared" si="0"/>
        <v>50000</v>
      </c>
    </row>
    <row r="14" spans="1:19" x14ac:dyDescent="0.2">
      <c r="A14" s="38" t="s">
        <v>34</v>
      </c>
      <c r="B14" s="4">
        <f>IF(COUNTIF(C$63:$M$63,"A")&gt;0,0,SUM($B66:B67)/IF(B$63="x",1,(COUNTA(B$2:$M$2))))</f>
        <v>0</v>
      </c>
      <c r="C14" s="4">
        <f>IF(COUNTIF(D$63:$M$63,"A")&gt;0,0,(SUM($B66:C67)-SUM($B14:B14))/IF(C$63="x",1,COUNTA(C$2:$M$2)))</f>
        <v>0</v>
      </c>
      <c r="D14" s="4">
        <f>IF(COUNTIF(E$63:$M$63,"A")&gt;0,0,(SUM($B66:D67)-SUM($B14:C14))/IF(D$63="x",1,COUNTA(D$2:$M$2)))</f>
        <v>850</v>
      </c>
      <c r="E14" s="4">
        <f>IF(COUNTIF(F$63:$M$63,"A")&gt;0,0,(SUM($B66:E67)-SUM($B14:D14))/IF(E$63="x",1,COUNTA(E$2:$M$2)))</f>
        <v>850</v>
      </c>
      <c r="F14" s="4">
        <f>IF(COUNTIF(G$63:$M$63,"A")&gt;0,0,(SUM($B66:F67)-SUM($B14:E14))/IF(F$63="x",1,COUNTA(F$2:$M$2)))</f>
        <v>850</v>
      </c>
      <c r="G14" s="4">
        <f>IF(COUNTIF(H$63:$M$63,"A")&gt;0,0,(SUM($B66:G67)-SUM($B14:F14))/IF(G$63="x",1,COUNTA(G$2:$M$2)))</f>
        <v>850</v>
      </c>
      <c r="H14" s="4">
        <f>IF(COUNTIF(I$63:$M$63,"A")&gt;0,0,(SUM($B66:H67)-SUM($B14:G14))/IF(H$63="x",1,COUNTA(H$2:$M$2)))</f>
        <v>850</v>
      </c>
      <c r="I14" s="4">
        <f>IF(COUNTIF(J$63:$M$63,"A")&gt;0,0,(SUM($B66:I67)-SUM($B14:H14))/IF(I$63="x",1,COUNTA(I$2:$M$2)))</f>
        <v>850</v>
      </c>
      <c r="J14" s="4">
        <f>IF(COUNTIF(K$63:$M$63,"A")&gt;0,0,(SUM($B66:J67)-SUM($B14:I14))/IF(J$63="x",1,COUNTA(J$2:$M$2)))</f>
        <v>850</v>
      </c>
      <c r="K14" s="4">
        <f>IF(COUNTIF(L$63:$M$63,"A")&gt;0,0,(SUM($B66:K67)-SUM($B14:J14))/IF(K$63="x",1,COUNTA(K$2:$M$2)))</f>
        <v>850</v>
      </c>
      <c r="L14" s="4">
        <f>IF(COUNTIF(M$63:$M$63,"A")&gt;0,0,(SUM($B66:L67)-SUM($B14:K14))/IF(L$63="x",1,COUNTA(L$2:$M$2)))</f>
        <v>850</v>
      </c>
      <c r="M14" s="4">
        <f>IF(COUNTIF($M$63:N$63,"A")&gt;0,0,(SUM($B66:M67)-SUM($B14:L14))/IF(M$63="x",1,COUNTA(M$2:$M$2)))</f>
        <v>850</v>
      </c>
      <c r="N14" s="8">
        <f t="shared" si="0"/>
        <v>8500</v>
      </c>
    </row>
    <row r="15" spans="1:19" x14ac:dyDescent="0.2">
      <c r="B15" s="9"/>
      <c r="D15" s="64"/>
      <c r="G15" s="64"/>
      <c r="H15" s="9"/>
      <c r="J15" s="5"/>
      <c r="K15" s="5"/>
      <c r="L15" s="5"/>
      <c r="M15" s="5"/>
    </row>
    <row r="16" spans="1:19" x14ac:dyDescent="0.2">
      <c r="A16" s="9" t="s">
        <v>10</v>
      </c>
      <c r="B16" s="9">
        <f>B13-B14</f>
        <v>0</v>
      </c>
      <c r="C16" s="9">
        <f t="shared" ref="C16:M16" si="5">C13-C14</f>
        <v>0</v>
      </c>
      <c r="D16" s="9">
        <f t="shared" si="5"/>
        <v>4150</v>
      </c>
      <c r="E16" s="9">
        <f t="shared" si="5"/>
        <v>4150</v>
      </c>
      <c r="F16" s="9">
        <f t="shared" si="5"/>
        <v>4150</v>
      </c>
      <c r="G16" s="9">
        <f t="shared" si="5"/>
        <v>4150</v>
      </c>
      <c r="H16" s="9">
        <f t="shared" si="5"/>
        <v>4150</v>
      </c>
      <c r="I16" s="9">
        <f t="shared" si="5"/>
        <v>4150</v>
      </c>
      <c r="J16" s="9">
        <f t="shared" si="5"/>
        <v>4150</v>
      </c>
      <c r="K16" s="9">
        <f t="shared" si="5"/>
        <v>4150</v>
      </c>
      <c r="L16" s="9">
        <f t="shared" si="5"/>
        <v>4150</v>
      </c>
      <c r="M16" s="9">
        <f t="shared" si="5"/>
        <v>4150</v>
      </c>
      <c r="N16" s="10">
        <f t="shared" si="0"/>
        <v>41500</v>
      </c>
    </row>
    <row r="17" spans="1:19" x14ac:dyDescent="0.2">
      <c r="E17" s="3"/>
      <c r="H17" s="5"/>
    </row>
    <row r="18" spans="1:19" x14ac:dyDescent="0.2">
      <c r="A18" s="4" t="s">
        <v>11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8">
        <f t="shared" si="0"/>
        <v>0</v>
      </c>
      <c r="P18" s="74"/>
      <c r="Q18" s="74"/>
    </row>
    <row r="19" spans="1:19" x14ac:dyDescent="0.2">
      <c r="A19" s="4" t="s">
        <v>23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8">
        <f t="shared" si="0"/>
        <v>0</v>
      </c>
      <c r="P19" s="74"/>
      <c r="Q19" s="74"/>
    </row>
    <row r="20" spans="1:19" x14ac:dyDescent="0.2">
      <c r="A20" s="4" t="s">
        <v>24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8">
        <f t="shared" si="0"/>
        <v>0</v>
      </c>
      <c r="P20" s="74"/>
      <c r="Q20" s="74"/>
    </row>
    <row r="21" spans="1:19" x14ac:dyDescent="0.2">
      <c r="A21" s="95" t="s">
        <v>65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8">
        <f t="shared" si="0"/>
        <v>0</v>
      </c>
      <c r="P21" s="74"/>
      <c r="Q21" s="74"/>
    </row>
    <row r="22" spans="1:19" x14ac:dyDescent="0.2">
      <c r="A22" s="4" t="s">
        <v>29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f t="shared" si="0"/>
        <v>0</v>
      </c>
      <c r="P22" s="74"/>
      <c r="Q22" s="74"/>
    </row>
    <row r="23" spans="1:19" x14ac:dyDescent="0.2">
      <c r="A23" s="94" t="s">
        <v>57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8">
        <f t="shared" si="0"/>
        <v>0</v>
      </c>
      <c r="P23" s="74"/>
      <c r="Q23" s="74"/>
    </row>
    <row r="24" spans="1:19" x14ac:dyDescent="0.2">
      <c r="A24" s="95" t="s">
        <v>66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8">
        <f t="shared" si="0"/>
        <v>0</v>
      </c>
      <c r="P24" s="74"/>
      <c r="Q24" s="74"/>
    </row>
    <row r="25" spans="1:19" x14ac:dyDescent="0.2">
      <c r="A25" s="95" t="s">
        <v>59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8">
        <f t="shared" si="0"/>
        <v>0</v>
      </c>
      <c r="P25" s="74"/>
      <c r="Q25" s="74"/>
    </row>
    <row r="26" spans="1:19" x14ac:dyDescent="0.2">
      <c r="A26" s="84" t="s">
        <v>55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8">
        <f t="shared" si="0"/>
        <v>0</v>
      </c>
      <c r="P26" s="74"/>
      <c r="Q26" s="74"/>
    </row>
    <row r="27" spans="1:19" x14ac:dyDescent="0.2">
      <c r="A27" s="95" t="s">
        <v>67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8">
        <f t="shared" si="0"/>
        <v>0</v>
      </c>
      <c r="P27" s="74"/>
      <c r="Q27" s="74"/>
    </row>
    <row r="28" spans="1:19" s="19" customFormat="1" x14ac:dyDescent="0.2">
      <c r="A28" s="18"/>
      <c r="B28" s="18"/>
      <c r="G28" s="66"/>
      <c r="H28" s="20"/>
      <c r="J28" s="21"/>
      <c r="K28" s="21"/>
      <c r="L28" s="21"/>
      <c r="M28" s="21"/>
      <c r="P28" s="74"/>
      <c r="Q28" s="74"/>
    </row>
    <row r="29" spans="1:19" s="89" customFormat="1" x14ac:dyDescent="0.2">
      <c r="A29" s="87" t="s">
        <v>68</v>
      </c>
      <c r="B29" s="117"/>
      <c r="C29" s="117"/>
      <c r="D29" s="117"/>
      <c r="E29" s="117"/>
      <c r="F29" s="117"/>
      <c r="G29" s="121">
        <f>IF(G77&lt;150000, MAX(0,G11+G16-SUM(G18:G27,G32:G33)),0)+G80+G7</f>
        <v>40682.986666666722</v>
      </c>
      <c r="H29" s="118">
        <f>IF(H77&lt;150000, MAX(0,H11+H16-SUM(H18:H27,H32:H37)),0)</f>
        <v>0</v>
      </c>
      <c r="I29" s="118">
        <f>IF(I77&lt;150000, MAX(0,I11+I16-SUM(I18:I27,I32:I37)),0)</f>
        <v>0</v>
      </c>
      <c r="J29" s="118">
        <f>IF(J77&lt;175000, MAX(0,J11+J16-SUM(J18:J27,J32:J37)),0)</f>
        <v>66972.106666666703</v>
      </c>
      <c r="K29" s="118">
        <f>IF(K77&lt;175000, MAX(0,K11+K16-SUM(K18:K27,K32:K37)),0)</f>
        <v>75963.773333333331</v>
      </c>
      <c r="L29" s="118">
        <f>IF(L77&lt;175000, MAX(0,L11+L16-SUM(L18:L27,L32:L37)),0)</f>
        <v>93947.106666666703</v>
      </c>
      <c r="M29" s="118">
        <f>IF(M77&lt;175000, MAX(0,M11+M16-SUM(M18:M27,M32:M37)),0)+M7</f>
        <v>0</v>
      </c>
      <c r="N29" s="88">
        <f t="shared" si="0"/>
        <v>277565.97333333344</v>
      </c>
      <c r="P29" s="90"/>
      <c r="Q29" s="90"/>
    </row>
    <row r="30" spans="1:19" s="89" customFormat="1" x14ac:dyDescent="0.2">
      <c r="A30" s="87" t="s">
        <v>69</v>
      </c>
      <c r="B30" s="117"/>
      <c r="C30" s="117"/>
      <c r="D30" s="117"/>
      <c r="E30" s="117"/>
      <c r="F30" s="117"/>
      <c r="G30" s="121">
        <f>VLOOKUP(G77,Tablas!$G:$H,2)+G81</f>
        <v>128937</v>
      </c>
      <c r="H30" s="118">
        <f>VLOOKUP(H77,Tablas!$G:$H,2)</f>
        <v>42979</v>
      </c>
      <c r="I30" s="118">
        <f>VLOOKUP(I77,Tablas!$G:$H,2)</f>
        <v>39452</v>
      </c>
      <c r="J30" s="118">
        <f>VLOOKUP(J77,Tablas!$J:$K,2)</f>
        <v>0</v>
      </c>
      <c r="K30" s="118">
        <f>VLOOKUP(K77,Tablas!$J:$K,2)</f>
        <v>0</v>
      </c>
      <c r="L30" s="118">
        <f>VLOOKUP(L77,Tablas!$J:$K,2)</f>
        <v>0</v>
      </c>
      <c r="M30" s="118">
        <f>VLOOKUP(M77,Tablas!$J:$K,2)</f>
        <v>55275</v>
      </c>
      <c r="N30" s="88">
        <f t="shared" si="0"/>
        <v>266643</v>
      </c>
      <c r="P30" s="90"/>
      <c r="Q30" s="90"/>
    </row>
    <row r="31" spans="1:19" s="89" customForma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P31" s="90"/>
      <c r="Q31" s="90"/>
    </row>
    <row r="32" spans="1:19" ht="12.75" x14ac:dyDescent="0.25">
      <c r="A32" s="4" t="s">
        <v>13</v>
      </c>
      <c r="B32" s="4">
        <f>O32</f>
        <v>67071.359999999986</v>
      </c>
      <c r="C32" s="4">
        <f>IF(COUNTIF($B$63:B$63,"x")&gt;0,0,IF(C$63="A",$O32*COUNTA($A32:B32),IF(COUNTIF(D$63:$M$63,"A")&gt;0,0,$O32*IF(C$63="x",12,COUNTA($A32:B32))-SUM($B32:B32))))</f>
        <v>67071.359999999986</v>
      </c>
      <c r="D32" s="4">
        <f>IF(COUNTIF($B$63:C$63,"x")&gt;0,0,IF(D$63="A",$O32*COUNTA($A32:C32),IF(COUNTIF(E$63:$M$63,"A")&gt;0,0,$O32*IF(D$63="x",12,COUNTA($A32:C32))-SUM($B32:C32))))</f>
        <v>67071.359999999986</v>
      </c>
      <c r="E32" s="4">
        <f>IF(COUNTIF($B$63:D$63,"x")&gt;0,0,IF(E$63="A",$O32*COUNTA($A32:D32),IF(COUNTIF(F$63:$M$63,"A")&gt;0,0,$O32*IF(E$63="x",12,COUNTA($A32:D32))-SUM($B32:D32))))</f>
        <v>67071.359999999986</v>
      </c>
      <c r="F32" s="4">
        <f>IF(COUNTIF($B$63:E$63,"x")&gt;0,0,IF(F$63="A",$O32*COUNTA($A32:E32),IF(COUNTIF(G$63:$M$63,"A")&gt;0,0,$O32*IF(F$63="x",12,COUNTA($A32:E32))-SUM($B32:E32))))</f>
        <v>67071.359999999986</v>
      </c>
      <c r="G32" s="4">
        <f>IF(COUNTIF($B$63:F$63,"x")&gt;0,0,IF(G$63="A",$O32*COUNTA($A32:F32),IF(COUNTIF(H$63:$M$63,"A")&gt;0,0,$O32*IF(G$63="x",12,COUNTA($A32:F32))-SUM($B32:F32))))</f>
        <v>67071.359999999986</v>
      </c>
      <c r="H32" s="4">
        <f>IF(COUNTIF($B$63:G$63,"x")&gt;0,0,IF(H$63="A",$O32*COUNTA($A32:G32),IF(COUNTIF(I$63:$M$63,"A")&gt;0,0,$O32*IF(H$63="x",12,COUNTA($A32:G32))-SUM($B32:G32))))</f>
        <v>67071.359999999986</v>
      </c>
      <c r="I32" s="4">
        <f>IF(COUNTIF($B$63:H$63,"x")&gt;0,0,IF(I$63="A",$O32*COUNTA($A32:H32),IF(COUNTIF(J$63:$M$63,"A")&gt;0,0,$O32*IF(I$63="x",12,COUNTA($A32:H32))-SUM($B32:H32))))</f>
        <v>67071.359999999986</v>
      </c>
      <c r="J32" s="4">
        <f>IF(COUNTIF($B$63:I$63,"x")&gt;0,0,IF(J$63="A",$O32*COUNTA($A32:I32),IF(COUNTIF(K$63:$M$63,"A")&gt;0,0,$O32*IF(J$63="x",12,COUNTA($A32:I32))-SUM($B32:I32))))</f>
        <v>67071.359999999986</v>
      </c>
      <c r="K32" s="4">
        <f>IF(COUNTIF($B$63:J$63,"x")&gt;0,0,IF(K$63="A",$O32*COUNTA($A32:J32),IF(COUNTIF(L$63:$M$63,"A")&gt;0,0,$O32*IF(K$63="x",12,COUNTA($A32:J32))-SUM($B32:J32))))</f>
        <v>67071.359999999986</v>
      </c>
      <c r="L32" s="4">
        <f>IF(COUNTIF($B$63:K$63,"x")&gt;0,0,IF(L$63="A",$O32*COUNTA($A32:K32),IF(COUNTIF(M$63:$M$63,"A")&gt;0,0,$O32*IF(L$63="x",12,COUNTA($A32:K32))-SUM($B32:K32))))</f>
        <v>67071.359999999986</v>
      </c>
      <c r="M32" s="4">
        <f>IF(COUNTIF($B$63:L$63,"x")&gt;0,0,IF(M$63="A",$O32*COUNTA($A32:L32),IF(COUNTIF($M$63:N$63,"A")&gt;0,0,$O32*IF(M$63="x",12,COUNTA($A32:L32))-SUM($B32:L32))))</f>
        <v>67071.359999999986</v>
      </c>
      <c r="N32" s="8">
        <f t="shared" si="0"/>
        <v>804856.31999999983</v>
      </c>
      <c r="O32" s="32">
        <f>O33*4.8</f>
        <v>67071.359999999986</v>
      </c>
      <c r="P32" s="32">
        <f>P33*4.8+0.02</f>
        <v>804856.34</v>
      </c>
      <c r="Q32" s="74"/>
      <c r="R32" s="75"/>
      <c r="S32" s="3"/>
    </row>
    <row r="33" spans="1:19" ht="12.75" x14ac:dyDescent="0.25">
      <c r="A33" s="4" t="s">
        <v>12</v>
      </c>
      <c r="B33" s="4">
        <f>O33</f>
        <v>13973.199999999999</v>
      </c>
      <c r="C33" s="4">
        <f t="shared" ref="C33:M33" si="6">C32/4.8</f>
        <v>13973.199999999997</v>
      </c>
      <c r="D33" s="4">
        <f t="shared" si="6"/>
        <v>13973.199999999997</v>
      </c>
      <c r="E33" s="4">
        <f t="shared" si="6"/>
        <v>13973.199999999997</v>
      </c>
      <c r="F33" s="4">
        <f t="shared" si="6"/>
        <v>13973.199999999997</v>
      </c>
      <c r="G33" s="4">
        <f t="shared" si="6"/>
        <v>13973.199999999997</v>
      </c>
      <c r="H33" s="4">
        <f t="shared" si="6"/>
        <v>13973.199999999997</v>
      </c>
      <c r="I33" s="4">
        <f t="shared" si="6"/>
        <v>13973.199999999997</v>
      </c>
      <c r="J33" s="4">
        <f t="shared" si="6"/>
        <v>13973.199999999997</v>
      </c>
      <c r="K33" s="4">
        <f t="shared" si="6"/>
        <v>13973.199999999997</v>
      </c>
      <c r="L33" s="4">
        <f t="shared" si="6"/>
        <v>13973.199999999997</v>
      </c>
      <c r="M33" s="4">
        <f t="shared" si="6"/>
        <v>13973.199999999997</v>
      </c>
      <c r="N33" s="8">
        <f t="shared" si="0"/>
        <v>167678.39999999997</v>
      </c>
      <c r="O33" s="32">
        <f>P33/12</f>
        <v>13973.199999999999</v>
      </c>
      <c r="P33" s="32">
        <v>167678.39999999999</v>
      </c>
      <c r="Q33" s="74"/>
      <c r="R33" s="74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2"/>
      <c r="P34" s="85"/>
      <c r="Q34" s="74"/>
      <c r="R34" s="74"/>
    </row>
    <row r="35" spans="1:19" ht="12.75" x14ac:dyDescent="0.25">
      <c r="A35" s="4" t="s">
        <v>20</v>
      </c>
      <c r="B35" s="4">
        <f>IF(B$63="A",$O35*B69,IF(COUNTIF(C$63:$M$63,"A")&gt;0,0,$O35*IF(B$63="x",12,1)*B69))</f>
        <v>0</v>
      </c>
      <c r="C35" s="4">
        <f>IF(COUNTIF($B$63:B$63,"x")&gt;0,0,IF(C$63="A",$O35*COUNTA($A35:B35)*C69,IF(COUNTIF(D$63:$M$63,"A")&gt;0,0,$O35*IF(C$63="x",12,COUNTA($A35:B35))*C69-SUM($B35:B35))))</f>
        <v>0</v>
      </c>
      <c r="D35" s="4">
        <f>IF(COUNTIF($B$63:C$63,"x")&gt;0,0,IF(D$63="A",$O35*COUNTA($A35:C35)*D69,IF(COUNTIF(E$63:$M$63,"A")&gt;0,0,$O35*IF(D$63="x",12,COUNTA($A35:C35))*D69-SUM($B35:C35))))</f>
        <v>0</v>
      </c>
      <c r="E35" s="4">
        <f>IF(COUNTIF($B$63:D$63,"x")&gt;0,0,IF(E$63="A",$O35*COUNTA($A35:D35)*E69,IF(COUNTIF(F$63:$M$63,"A")&gt;0,0,$O35*IF(E$63="x",12,COUNTA($A35:D35))*E69-SUM($B35:D35))))</f>
        <v>0</v>
      </c>
      <c r="F35" s="4">
        <f>IF(COUNTIF($B$63:E$63,"x")&gt;0,0,IF(F$63="A",$O35*COUNTA($A35:E35)*F69,IF(COUNTIF(G$63:$M$63,"A")&gt;0,0,$O35*IF(F$63="x",12,COUNTA($A35:E35))*F69-SUM($B35:E35))))</f>
        <v>0</v>
      </c>
      <c r="G35" s="4">
        <f>IF(COUNTIF($B$63:F$63,"x")&gt;0,0,IF(G$63="A",$O35*COUNTA($A35:F35)*G69,IF(COUNTIF(H$63:$M$63,"A")&gt;0,0,$O35*IF(G$63="x",12,COUNTA($A35:F35))*G69-SUM($B35:F35))))</f>
        <v>0</v>
      </c>
      <c r="H35" s="4">
        <f>IF(COUNTIF($B$63:G$63,"x")&gt;0,0,IF(H$63="A",$O35*COUNTA($A35:G35)*H69,IF(COUNTIF(I$63:$M$63,"A")&gt;0,0,$O35*IF(H$63="x",12,COUNTA($A35:G35))*H69-SUM($B35:G35))))</f>
        <v>0</v>
      </c>
      <c r="I35" s="4">
        <f>IF(COUNTIF($B$63:H$63,"x")&gt;0,0,IF(I$63="A",$O35*COUNTA($A35:H35)*I69,IF(COUNTIF(J$63:$M$63,"A")&gt;0,0,$O35*IF(I$63="x",12,COUNTA($A35:H35))*I69-SUM($B35:H35))))</f>
        <v>0</v>
      </c>
      <c r="J35" s="4">
        <f>IF(COUNTIF($B$63:I$63,"x")&gt;0,0,IF(J$63="A",$O35*COUNTA($A35:I35)*J69,IF(COUNTIF(K$63:$M$63,"A")&gt;0,0,$O35*IF(J$63="x",12,COUNTA($A35:I35))*J69-SUM($B35:I35))))</f>
        <v>0</v>
      </c>
      <c r="K35" s="4">
        <f>IF(COUNTIF($B$63:J$63,"x")&gt;0,0,IF(K$63="A",$O35*COUNTA($A35:J35)*K69,IF(COUNTIF(L$63:$M$63,"A")&gt;0,0,$O35*IF(K$63="x",12,COUNTA($A35:J35))*K69-SUM($B35:J35))))</f>
        <v>0</v>
      </c>
      <c r="L35" s="4">
        <f>IF(COUNTIF($B$63:K$63,"x")&gt;0,0,IF(L$63="A",$O35*COUNTA($A35:K35)*L69,IF(COUNTIF(M$63:$M$63,"A")&gt;0,0,$O35*IF(L$63="x",12,COUNTA($A35:K35))*L69-SUM($B35:K35))))</f>
        <v>0</v>
      </c>
      <c r="M35" s="4">
        <f>IF(COUNTIF($B$63:L$63,"x")&gt;0,0,IF(M$63="A",$O35*COUNTA($A35:L35)*M69,IF(COUNTIF($M$63:N$63,"A")&gt;0,0,$O35*IF(M$63="x",12,COUNTA($A35:L35))*M69-SUM($B35:L35))))</f>
        <v>0</v>
      </c>
      <c r="N35" s="8">
        <f t="shared" si="0"/>
        <v>0</v>
      </c>
      <c r="O35" s="32">
        <f>P35/12</f>
        <v>13026.719166666668</v>
      </c>
      <c r="P35" s="32">
        <v>156320.63</v>
      </c>
    </row>
    <row r="36" spans="1:19" ht="12.75" x14ac:dyDescent="0.25">
      <c r="A36" s="4" t="s">
        <v>21</v>
      </c>
      <c r="B36" s="4">
        <f>IF(B$63="A",$O36*B70,IF(COUNTIF(C$63:$M$63,"A")&gt;0,0,$O36*IF(B$63="x",12,1)*B70))</f>
        <v>0</v>
      </c>
      <c r="C36" s="4">
        <f>IF(COUNTIF($B$63:B$63,"x")&gt;0,0,IF(C$63="A",$O36*COUNTA($A36:B36)*C70,IF(COUNTIF(D$63:$M$63,"A")&gt;0,0,$O36*IF(C$63="x",12,COUNTA($A36:B36))*C70-SUM($B36:B36))))</f>
        <v>0</v>
      </c>
      <c r="D36" s="4">
        <f>IF(COUNTIF($B$63:C$63,"x")&gt;0,0,IF(D$63="A",$O36*COUNTA($A36:C36)*D70,IF(COUNTIF(E$63:$M$63,"A")&gt;0,0,$O36*IF(D$63="x",12,COUNTA($A36:C36))*D70-SUM($B36:C36))))</f>
        <v>0</v>
      </c>
      <c r="E36" s="4">
        <f>IF(COUNTIF($B$63:D$63,"x")&gt;0,0,IF(E$63="A",$O36*COUNTA($A36:D36)*E70,IF(COUNTIF(F$63:$M$63,"A")&gt;0,0,$O36*IF(E$63="x",12,COUNTA($A36:D36))*E70-SUM($B36:D36))))</f>
        <v>0</v>
      </c>
      <c r="F36" s="4">
        <f>IF(COUNTIF($B$63:E$63,"x")&gt;0,0,IF(F$63="A",$O36*COUNTA($A36:E36)*F70,IF(COUNTIF(G$63:$M$63,"A")&gt;0,0,$O36*IF(F$63="x",12,COUNTA($A36:E36))*F70-SUM($B36:E36))))</f>
        <v>0</v>
      </c>
      <c r="G36" s="4">
        <f>IF(COUNTIF($B$63:F$63,"x")&gt;0,0,IF(G$63="A",$O36*COUNTA($A36:F36)*G70,IF(COUNTIF(H$63:$M$63,"A")&gt;0,0,$O36*IF(G$63="x",12,COUNTA($A36:F36))*G70-SUM($B36:F36))))</f>
        <v>0</v>
      </c>
      <c r="H36" s="4">
        <f>IF(COUNTIF($B$63:G$63,"x")&gt;0,0,IF(H$63="A",$O36*COUNTA($A36:G36)*H70,IF(COUNTIF(I$63:$M$63,"A")&gt;0,0,$O36*IF(H$63="x",12,COUNTA($A36:G36))*H70-SUM($B36:G36))))</f>
        <v>0</v>
      </c>
      <c r="I36" s="4">
        <f>IF(COUNTIF($B$63:H$63,"x")&gt;0,0,IF(I$63="A",$O36*COUNTA($A36:H36)*I70,IF(COUNTIF(J$63:$M$63,"A")&gt;0,0,$O36*IF(I$63="x",12,COUNTA($A36:H36))*I70-SUM($B36:H36))))</f>
        <v>0</v>
      </c>
      <c r="J36" s="4">
        <f>IF(COUNTIF($B$63:I$63,"x")&gt;0,0,IF(J$63="A",$O36*COUNTA($A36:I36)*J70,IF(COUNTIF(K$63:$M$63,"A")&gt;0,0,$O36*IF(J$63="x",12,COUNTA($A36:I36))*J70-SUM($B36:I36))))</f>
        <v>0</v>
      </c>
      <c r="K36" s="4">
        <f>IF(COUNTIF($B$63:J$63,"x")&gt;0,0,IF(K$63="A",$O36*COUNTA($A36:J36)*K70,IF(COUNTIF(L$63:$M$63,"A")&gt;0,0,$O36*IF(K$63="x",12,COUNTA($A36:J36))*K70-SUM($B36:J36))))</f>
        <v>0</v>
      </c>
      <c r="L36" s="4">
        <f>IF(COUNTIF($B$63:K$63,"x")&gt;0,0,IF(L$63="A",$O36*COUNTA($A36:K36)*L70,IF(COUNTIF(M$63:$M$63,"A")&gt;0,0,$O36*IF(L$63="x",12,COUNTA($A36:K36))*L70-SUM($B36:K36))))</f>
        <v>0</v>
      </c>
      <c r="M36" s="4">
        <f>IF(COUNTIF($B$63:L$63,"x")&gt;0,0,IF(M$63="A",$O36*COUNTA($A36:L36)*M70,IF(COUNTIF($M$63:N$63,"A")&gt;0,0,$O36*IF(M$63="x",12,COUNTA($A36:L36))*M70-SUM($B36:L36))))</f>
        <v>0</v>
      </c>
      <c r="N36" s="8">
        <f t="shared" si="0"/>
        <v>0</v>
      </c>
      <c r="O36" s="32">
        <f>P36/12</f>
        <v>6569.4233333333332</v>
      </c>
      <c r="P36" s="78">
        <v>78833.08</v>
      </c>
    </row>
    <row r="37" spans="1:19" ht="12.75" x14ac:dyDescent="0.25">
      <c r="A37" s="122" t="s">
        <v>88</v>
      </c>
      <c r="B37" s="4">
        <f>IF(B$63="A",$O37*B71,IF(COUNTIF(C$63:$M$63,"A")&gt;0,0,$O37*IF(B$63="x",12,1)*B71))</f>
        <v>0</v>
      </c>
      <c r="C37" s="4">
        <f>IF(COUNTIF($B$63:B$63,"x")&gt;0,0,IF(C$63="A",$O37*COUNTA($A37:B37)*C71,IF(COUNTIF(D$63:$M$63,"A")&gt;0,0,$O37*IF(C$63="x",12,COUNTA($A37:B37))*C71-SUM($B37:B37))))</f>
        <v>0</v>
      </c>
      <c r="D37" s="4">
        <f>IF(COUNTIF($B$63:C$63,"x")&gt;0,0,IF(D$63="A",$O37*COUNTA($A37:C37)*D71,IF(COUNTIF(E$63:$M$63,"A")&gt;0,0,$O37*IF(D$63="x",12,COUNTA($A37:C37))*D71-SUM($B37:C37))))</f>
        <v>0</v>
      </c>
      <c r="E37" s="4">
        <f>IF(COUNTIF($B$63:D$63,"x")&gt;0,0,IF(E$63="A",$O37*COUNTA($A37:D37)*E71,IF(COUNTIF(F$63:$M$63,"A")&gt;0,0,$O37*IF(E$63="x",12,COUNTA($A37:D37))*E71-SUM($B37:D37))))</f>
        <v>0</v>
      </c>
      <c r="F37" s="4">
        <f>IF(COUNTIF($B$63:E$63,"x")&gt;0,0,IF(F$63="A",$O37*COUNTA($A37:E37)*F71,IF(COUNTIF(G$63:$M$63,"A")&gt;0,0,$O37*IF(F$63="x",12,COUNTA($A37:E37))*F71-SUM($B37:E37))))</f>
        <v>0</v>
      </c>
      <c r="G37" s="4">
        <f>IF(COUNTIF($B$63:F$63,"x")&gt;0,0,IF(G$63="A",$O37*COUNTA($A37:F37)*G71,IF(COUNTIF(H$63:$M$63,"A")&gt;0,0,$O37*IF(G$63="x",12,COUNTA($A37:F37))*G71-SUM($B37:F37))))</f>
        <v>0</v>
      </c>
      <c r="H37" s="4">
        <f>IF(COUNTIF($B$63:G$63,"x")&gt;0,0,IF(H$63="A",$O37*COUNTA($A37:G37)*H71,IF(COUNTIF(I$63:$M$63,"A")&gt;0,0,$O37*IF(H$63="x",12,COUNTA($A37:G37))*H71-SUM($B37:G37))))</f>
        <v>0</v>
      </c>
      <c r="I37" s="4">
        <f>IF(COUNTIF($B$63:H$63,"x")&gt;0,0,IF(I$63="A",$O37*COUNTA($A37:H37)*I71,IF(COUNTIF(J$63:$M$63,"A")&gt;0,0,$O37*IF(I$63="x",12,COUNTA($A37:H37))*I71-SUM($B37:H37))))</f>
        <v>0</v>
      </c>
      <c r="J37" s="4">
        <f>IF(COUNTIF($B$63:I$63,"x")&gt;0,0,IF(J$63="A",$O37*COUNTA($A37:I37)*J71,IF(COUNTIF(K$63:$M$63,"A")&gt;0,0,$O37*IF(J$63="x",12,COUNTA($A37:I37))*J71-SUM($B37:I37))))</f>
        <v>0</v>
      </c>
      <c r="K37" s="4">
        <f>IF(COUNTIF($B$63:J$63,"x")&gt;0,0,IF(K$63="A",$O37*COUNTA($A37:J37)*K71,IF(COUNTIF(L$63:$M$63,"A")&gt;0,0,$O37*IF(K$63="x",12,COUNTA($A37:J37))*K71-SUM($B37:J37))))</f>
        <v>0</v>
      </c>
      <c r="L37" s="4">
        <f>IF(COUNTIF($B$63:K$63,"x")&gt;0,0,IF(L$63="A",$O37*COUNTA($A37:K37)*L71,IF(COUNTIF(M$63:$M$63,"A")&gt;0,0,$O37*IF(L$63="x",12,COUNTA($A37:K37))*L71-SUM($B37:K37))))</f>
        <v>0</v>
      </c>
      <c r="M37" s="4">
        <f>IF(COUNTIF($B$63:L$63,"x")&gt;0,0,IF(M$63="A",$O37*COUNTA($A37:L37)*M71,IF(COUNTIF($M$63:N$63,"A")&gt;0,0,$O37*IF(M$63="x",12,COUNTA($A37:L37))*M71-SUM($B37:L37))))</f>
        <v>0</v>
      </c>
      <c r="N37" s="8">
        <f t="shared" si="0"/>
        <v>0</v>
      </c>
      <c r="O37" s="32">
        <f>O36*2</f>
        <v>13138.846666666666</v>
      </c>
      <c r="P37" s="32">
        <f>P36*2</f>
        <v>157666.16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0"/>
        <v>0</v>
      </c>
    </row>
    <row r="39" spans="1:19" x14ac:dyDescent="0.2">
      <c r="A39" s="9" t="s">
        <v>85</v>
      </c>
      <c r="B39" s="9">
        <f t="shared" ref="B39:M39" si="7">SUM(B18:B38)</f>
        <v>81044.559999999983</v>
      </c>
      <c r="C39" s="9">
        <f t="shared" si="7"/>
        <v>81044.559999999983</v>
      </c>
      <c r="D39" s="9">
        <f t="shared" si="7"/>
        <v>81044.559999999983</v>
      </c>
      <c r="E39" s="9">
        <f t="shared" si="7"/>
        <v>81044.559999999983</v>
      </c>
      <c r="F39" s="9">
        <f t="shared" si="7"/>
        <v>81044.559999999983</v>
      </c>
      <c r="G39" s="9">
        <f t="shared" si="7"/>
        <v>250664.54666666669</v>
      </c>
      <c r="H39" s="9">
        <f t="shared" si="7"/>
        <v>124023.55999999998</v>
      </c>
      <c r="I39" s="9">
        <f t="shared" si="7"/>
        <v>120496.55999999998</v>
      </c>
      <c r="J39" s="9">
        <f t="shared" si="7"/>
        <v>148016.66666666669</v>
      </c>
      <c r="K39" s="9">
        <f t="shared" si="7"/>
        <v>157008.33333333331</v>
      </c>
      <c r="L39" s="9">
        <f t="shared" si="7"/>
        <v>174991.66666666669</v>
      </c>
      <c r="M39" s="9">
        <f t="shared" si="7"/>
        <v>136319.56</v>
      </c>
      <c r="N39" s="10">
        <f t="shared" si="0"/>
        <v>1516743.6933333334</v>
      </c>
    </row>
    <row r="40" spans="1:19" x14ac:dyDescent="0.2">
      <c r="B40" s="4"/>
    </row>
    <row r="41" spans="1:19" x14ac:dyDescent="0.2">
      <c r="A41" s="63" t="s">
        <v>63</v>
      </c>
      <c r="B41" s="123"/>
      <c r="C41" s="74">
        <f t="shared" ref="C41:M41" si="8">C11+C16-C39</f>
        <v>35847.106666666688</v>
      </c>
      <c r="D41" s="74">
        <f t="shared" si="8"/>
        <v>48988.773333333345</v>
      </c>
      <c r="E41" s="74">
        <f t="shared" si="8"/>
        <v>48988.773333333345</v>
      </c>
      <c r="F41" s="74">
        <f t="shared" si="8"/>
        <v>66972.106666666703</v>
      </c>
      <c r="G41" s="74">
        <f t="shared" si="8"/>
        <v>-102472.88000000003</v>
      </c>
      <c r="H41" s="74">
        <f t="shared" si="8"/>
        <v>15001.440000000017</v>
      </c>
      <c r="I41" s="74">
        <f t="shared" si="8"/>
        <v>27520.106666666703</v>
      </c>
      <c r="J41" s="74">
        <f t="shared" si="8"/>
        <v>0</v>
      </c>
      <c r="K41" s="74">
        <f t="shared" si="8"/>
        <v>0</v>
      </c>
      <c r="L41" s="74">
        <f t="shared" si="8"/>
        <v>0</v>
      </c>
      <c r="M41" s="74">
        <f t="shared" si="8"/>
        <v>48672.10666666663</v>
      </c>
      <c r="N41" s="4"/>
    </row>
    <row r="42" spans="1:19" x14ac:dyDescent="0.2">
      <c r="A42" s="95" t="s">
        <v>62</v>
      </c>
      <c r="B42" s="40">
        <f>SUM($B3:B5,$B13:B13)-SUM($B9:B10,$B14:B14,$B39:B39)-SUM($B48:B49,-$B50:B50,-$B51:B51)</f>
        <v>35847.106666666688</v>
      </c>
      <c r="C42" s="40">
        <f>SUM($B3:C5,$B13:C13,$B50:C50,$B51:C51)-SUM($B9:C10,$B14:C14,$B39:C39,$B48:C49)</f>
        <v>71694.213333333319</v>
      </c>
      <c r="D42" s="40">
        <f>SUM($B3:D5,$B13:D13,$B50:D50,$B51:D51)-SUM($B9:D10,$B14:D14,$B39:D39,$B48:D49)</f>
        <v>120682.98666666669</v>
      </c>
      <c r="E42" s="40">
        <f>SUM($B3:E5,$B13:E13,$B50:E50,$B51:E51)-SUM($B9:E10,$B14:E14,$B39:E39,$B48:E49)</f>
        <v>169671.76</v>
      </c>
      <c r="F42" s="40">
        <f>SUM($B3:F5,$B13:F13,$B50:F50,$B51:F51)-SUM($B9:F10,$B14:F14,$B39:F39,$B48:F49)</f>
        <v>236643.8666666667</v>
      </c>
      <c r="G42" s="40">
        <f>SUM($B3:G5,$B13:G13,$B50:G50,$B51:G51)-SUM($B9:G10,$B14:G14,$B39:G39,$B48:G49)</f>
        <v>54170.986666666809</v>
      </c>
      <c r="H42" s="40">
        <f>SUM($B3:H5,$B13:H13,$B50:H50,$B51:H51)-SUM($B9:H10,$B14:H14,$B39:H39,$B48:H49)</f>
        <v>69172.426666666754</v>
      </c>
      <c r="I42" s="40">
        <f>SUM($B3:I5,$B13:I13,$B50:I50,$B51:I51)-SUM($B9:I10,$B14:I14,$B39:I39,$B48:I49)</f>
        <v>96692.533333333442</v>
      </c>
      <c r="J42" s="40">
        <f>SUM($B3:J5,$B13:J13,$B50:J50,$B51:J51)-SUM($B9:J10,$B14:J14,$B39:J39,$B48:J49)</f>
        <v>96692.533333333442</v>
      </c>
      <c r="K42" s="40">
        <f>SUM($B3:K5,$B13:K13,$B50:K50,$B51:K51)-SUM($B9:K10,$B14:K14,$B39:K39,$B48:K49)</f>
        <v>96692.533333333209</v>
      </c>
      <c r="L42" s="40">
        <f>SUM($B3:L5,$B13:L13,$B50:L50,$B51:L51)-SUM($B9:L10,$B14:L14,$B39:L39,$B48:L49)</f>
        <v>96692.533333332976</v>
      </c>
      <c r="M42" s="40">
        <f>SUM($B3:M5,$B13:M13,$B50:M50,$B51:M51)-SUM($B9:M10,$B14:M14,$B39:M39,$B48:M49)</f>
        <v>50364.639999999665</v>
      </c>
      <c r="N42" s="4"/>
    </row>
    <row r="43" spans="1:19" x14ac:dyDescent="0.2">
      <c r="A43" s="49" t="s">
        <v>46</v>
      </c>
      <c r="B43" s="41">
        <f>IF(B63="x",VLOOKUP(B42,Tablas!$A$1:$D$10,3)+(B42-VLOOKUP(B42,Tablas!$A$1:$D$10,1))*VLOOKUP(B42,Tablas!$A$1:$D$10,4),VLOOKUP(B42,Tablas!$A$13:$D$22,3)+(B42-VLOOKUP(B42,Tablas!$A$13:$D$22,1))*VLOOKUP(B42,Tablas!$A$13:$D$22,4))</f>
        <v>5071.9795500000055</v>
      </c>
      <c r="C43" s="41">
        <f>IF(C63="x",VLOOKUP(C42,Tablas!$A$1:$D$10,3)+(C42-VLOOKUP(C42,Tablas!$A$1:$D$10,1))*VLOOKUP(C42,Tablas!$A$1:$D$10,4),VLOOKUP(C42,Tablas!$A$25:$D$34,3)+(C42-VLOOKUP(C42,Tablas!$A$25:$D$34,1))*VLOOKUP(C42,Tablas!$A$25:$D$34,4))</f>
        <v>10143.959099999996</v>
      </c>
      <c r="D43" s="41">
        <f>IF(D63="x",VLOOKUP(D42,Tablas!$A$1:$D$10,3)+(D42-VLOOKUP(D42,Tablas!$A$1:$D$10,1))*VLOOKUP(D42,Tablas!$A$1:$D$10,4),VLOOKUP(D42,Tablas!$A$37:$D$46,3)+(D42-VLOOKUP(D42,Tablas!$A$37:$D$46,1))*VLOOKUP(D42,Tablas!$A$37:$D$46,4))</f>
        <v>18238.521983333339</v>
      </c>
      <c r="E43" s="41">
        <f>IF(E63="x",VLOOKUP(E42,Tablas!$A$1:$D$10,3)+(E42-VLOOKUP(E42,Tablas!$A$1:$D$10,1))*VLOOKUP(E42,Tablas!$A$1:$D$10,4),VLOOKUP(E42,Tablas!$A$49:$D$58,3)+(E42-VLOOKUP(E42,Tablas!$A$49:$D$58,1))*VLOOKUP(E42,Tablas!$A$49:$D$58,4))</f>
        <v>26333.084866666672</v>
      </c>
      <c r="F43" s="41">
        <f>IF(F63="x",VLOOKUP(F42,Tablas!$A$1:$D$10,3)+(F42-VLOOKUP(F42,Tablas!$A$1:$D$10,1))*VLOOKUP(F42,Tablas!$A$1:$D$10,4),VLOOKUP(F42,Tablas!$A$61:$D$70,3)+(F42-VLOOKUP(F42,Tablas!$A$61:$D$70,1))*VLOOKUP(F42,Tablas!$A$61:$D$70,4))</f>
        <v>39425.216750000014</v>
      </c>
      <c r="G43" s="41">
        <f>IF(G63="x",VLOOKUP(G42,Tablas!$A$1:$D$10,3)+(G42-VLOOKUP(G42,Tablas!$A$1:$D$10,1))*VLOOKUP(G42,Tablas!$A$1:$D$10,4),VLOOKUP(G42,Tablas!$A$73:$D$82,3)+(G42-VLOOKUP(G42,Tablas!$A$73:$D$82,1))*VLOOKUP(G42,Tablas!$A$73:$D$82,4))</f>
        <v>3584.7360000000131</v>
      </c>
      <c r="H43" s="41">
        <f>IF(H63="x",VLOOKUP(H42,Tablas!$A$1:$D$10,3)+(H42-VLOOKUP(H42,Tablas!$A$1:$D$10,1))*VLOOKUP(H42,Tablas!$A$1:$D$10,4),VLOOKUP(H42,Tablas!$A$85:$D$94,3)+(H42-VLOOKUP(H42,Tablas!$A$85:$D$94,1))*VLOOKUP(H42,Tablas!$A$85:$D$94,4))</f>
        <v>4719.7568000000083</v>
      </c>
      <c r="I43" s="41">
        <f>IF(I63="x",VLOOKUP(I42,Tablas!$A$1:$D$10,3)+(I42-VLOOKUP(I42,Tablas!$A$1:$D$10,1))*VLOOKUP(I42,Tablas!$A$1:$D$10,4),VLOOKUP(I42,Tablas!$A$97:$D$106,3)+(I42-VLOOKUP(I42,Tablas!$A$97:$D$106,1))*VLOOKUP(I42,Tablas!$A$97:$D$106,4))</f>
        <v>7300.927800000014</v>
      </c>
      <c r="J43" s="41">
        <f>IF(J63="x",VLOOKUP(J42,Tablas!$A$1:$D$10,3)+(J42-VLOOKUP(J42,Tablas!$A$1:$D$10,1))*VLOOKUP(J42,Tablas!$A$1:$D$10,4),VLOOKUP(J42,Tablas!$A$109:$D$118,3)+(J42-VLOOKUP(J42,Tablas!$A$109:$D$118,1))*VLOOKUP(J42,Tablas!$A$109:$D$118,4))</f>
        <v>6766.3488000000098</v>
      </c>
      <c r="K43" s="41">
        <f>IF(K63="x",VLOOKUP(K42,Tablas!$A$1:$D$10,3)+(K42-VLOOKUP(K42,Tablas!$A$1:$D$10,1))*VLOOKUP(K42,Tablas!$A$1:$D$10,4),VLOOKUP(K42,Tablas!$A$121:$D$130,3)+(K42-VLOOKUP(K42,Tablas!$A$121:$D$130,1))*VLOOKUP(K42,Tablas!$A$121:$D$130,4))</f>
        <v>6551.2399999999889</v>
      </c>
      <c r="L43" s="41">
        <f>IF(L63="x",VLOOKUP(L42,Tablas!$A$1:$D$10,3)+(L42-VLOOKUP(L42,Tablas!$A$1:$D$10,1))*VLOOKUP(L42,Tablas!$A$1:$D$10,4),VLOOKUP(L42,Tablas!$A$133:$D$142,3)+(L42-VLOOKUP(L42,Tablas!$A$133:$D$142,1))*VLOOKUP(L42,Tablas!$A$133:$D$142,4))</f>
        <v>6336.1311999999671</v>
      </c>
      <c r="M43" s="41">
        <f>IF(M63="x",VLOOKUP(M42,Tablas!$A$1:$D$10,3)+(M42-VLOOKUP(M42,Tablas!$A$1:$D$10,1))*VLOOKUP(M42,Tablas!$A$1:$D$10,4),VLOOKUP(M42,Tablas!$A$1:$D$10,3)+(M42-VLOOKUP(M42,Tablas!$A$1:$D$10,1))*VLOOKUP(M42,Tablas!$A$1:$D$10,4))</f>
        <v>2518.2319999999836</v>
      </c>
      <c r="N43" s="4"/>
    </row>
    <row r="44" spans="1:19" x14ac:dyDescent="0.2">
      <c r="B44" s="51">
        <f>IF(B63="x",VLOOKUP(MAX(0,B42),Tablas!$A$1:$D$10,4),VLOOKUP(MAX(0,B42),Tablas!$A$13:$D$22,4))</f>
        <v>0.23</v>
      </c>
      <c r="C44" s="51">
        <f>IF(C63="x",VLOOKUP(MAX(0,C42),Tablas!$A$1:$D$10,4),VLOOKUP(MAX(0,C42),Tablas!$A$25:$D$34,4))</f>
        <v>0.23</v>
      </c>
      <c r="D44" s="51">
        <f>IF(D63="x",VLOOKUP(MAX(0,D42),Tablas!$A$1:$D$10,4),VLOOKUP(MAX(0,D42),Tablas!$A$37:$D$46,4))</f>
        <v>0.23</v>
      </c>
      <c r="E44" s="51">
        <f>IF(E63="x",VLOOKUP(MAX(0,E42),Tablas!$A$1:$D$10,4),VLOOKUP(MAX(0,E42),Tablas!$A$49:$D$58,4))</f>
        <v>0.23</v>
      </c>
      <c r="F44" s="51">
        <f>IF(F63="x",VLOOKUP(MAX(0,F42),Tablas!$A$1:$D$10,4),VLOOKUP(MAX(0,F42),Tablas!$A$61:$D$70,4))</f>
        <v>0.27</v>
      </c>
      <c r="G44" s="51">
        <f>IF(G63="x",VLOOKUP(MAX(0,G42),Tablas!$A$1:$D$10,4),VLOOKUP(MAX(0,G42),Tablas!$A$73:$D$82,4))</f>
        <v>0.09</v>
      </c>
      <c r="H44" s="51">
        <f>IF(H63="x",VLOOKUP(MAX(0,H42),Tablas!$A$1:$D$10,4),VLOOKUP(MAX(0,H42),Tablas!$A$97:$D$106,4))</f>
        <v>0.09</v>
      </c>
      <c r="I44" s="51">
        <f>IF(I63="x",VLOOKUP(MAX(0,I42),Tablas!$A$1:$D$10,4),VLOOKUP(MAX(0,I42),Tablas!$A$97:$D$106,4))</f>
        <v>0.12</v>
      </c>
      <c r="J44" s="51">
        <f>IF(J63="x",VLOOKUP(MAX(0,J42),Tablas!$A$1:$D$10,4),VLOOKUP(MAX(0,J42),Tablas!$A$121:$D$130,4))</f>
        <v>0.09</v>
      </c>
      <c r="K44" s="51">
        <f>IF(K63="x",VLOOKUP(MAX(0,K42),Tablas!$A$1:$D$10,4),VLOOKUP(MAX(0,K42),Tablas!$A$121:$D$130,4))</f>
        <v>0.09</v>
      </c>
      <c r="L44" s="51">
        <f>IF(L63="x",VLOOKUP(MAX(0,L42),Tablas!$A$1:$D$10,4),VLOOKUP(MAX(0,L42),Tablas!$A$133:$D$142,4))</f>
        <v>0.09</v>
      </c>
      <c r="M44" s="51">
        <f>IF(M63="x",VLOOKUP(MAX(0,M42),Tablas!$A$1:$D$10,4),VLOOKUP(MAX(0,M42),Tablas!$A$1:$D$10,4))</f>
        <v>0.05</v>
      </c>
      <c r="N44" s="4"/>
    </row>
    <row r="45" spans="1:19" s="46" customFormat="1" x14ac:dyDescent="0.2">
      <c r="A45" s="44" t="s">
        <v>38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</row>
    <row r="46" spans="1:19" s="46" customFormat="1" x14ac:dyDescent="0.2">
      <c r="A46" s="44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</row>
    <row r="47" spans="1:19" s="46" customFormat="1" x14ac:dyDescent="0.2">
      <c r="A47" s="44" t="s">
        <v>40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</row>
    <row r="48" spans="1:19" s="48" customFormat="1" x14ac:dyDescent="0.2">
      <c r="A48" s="47" t="s">
        <v>41</v>
      </c>
      <c r="B48" s="47">
        <f>B45+B46/3*2+B47/2</f>
        <v>0</v>
      </c>
      <c r="C48" s="47">
        <f>C45+C46/3*2+C47/2</f>
        <v>0</v>
      </c>
      <c r="D48" s="47">
        <f t="shared" ref="D48:M48" si="9">D45+D46/3*2+D47/2</f>
        <v>0</v>
      </c>
      <c r="E48" s="47">
        <f t="shared" si="9"/>
        <v>0</v>
      </c>
      <c r="F48" s="47">
        <f t="shared" si="9"/>
        <v>0</v>
      </c>
      <c r="G48" s="47">
        <f t="shared" si="9"/>
        <v>0</v>
      </c>
      <c r="H48" s="47">
        <f t="shared" si="9"/>
        <v>0</v>
      </c>
      <c r="I48" s="47">
        <f t="shared" si="9"/>
        <v>0</v>
      </c>
      <c r="J48" s="47">
        <f t="shared" si="9"/>
        <v>0</v>
      </c>
      <c r="K48" s="47">
        <f t="shared" si="9"/>
        <v>0</v>
      </c>
      <c r="L48" s="47">
        <f t="shared" si="9"/>
        <v>0</v>
      </c>
      <c r="M48" s="47">
        <f t="shared" si="9"/>
        <v>0</v>
      </c>
    </row>
    <row r="49" spans="1:14" s="48" customFormat="1" x14ac:dyDescent="0.2">
      <c r="A49" s="47" t="s">
        <v>42</v>
      </c>
      <c r="B49" s="47">
        <f t="shared" ref="B49:M49" si="10">SUM(B45:B47)-B48</f>
        <v>0</v>
      </c>
      <c r="C49" s="47">
        <f t="shared" si="10"/>
        <v>0</v>
      </c>
      <c r="D49" s="47">
        <f t="shared" si="10"/>
        <v>0</v>
      </c>
      <c r="E49" s="47">
        <f t="shared" si="10"/>
        <v>0</v>
      </c>
      <c r="F49" s="47">
        <f t="shared" si="10"/>
        <v>0</v>
      </c>
      <c r="G49" s="47">
        <f t="shared" si="10"/>
        <v>0</v>
      </c>
      <c r="H49" s="47">
        <f t="shared" si="10"/>
        <v>0</v>
      </c>
      <c r="I49" s="47">
        <f t="shared" si="10"/>
        <v>0</v>
      </c>
      <c r="J49" s="47">
        <f t="shared" si="10"/>
        <v>0</v>
      </c>
      <c r="K49" s="47">
        <f t="shared" si="10"/>
        <v>0</v>
      </c>
      <c r="L49" s="47">
        <f t="shared" si="10"/>
        <v>0</v>
      </c>
      <c r="M49" s="47">
        <f t="shared" si="10"/>
        <v>0</v>
      </c>
    </row>
    <row r="50" spans="1:14" s="48" customFormat="1" x14ac:dyDescent="0.2">
      <c r="A50" s="47" t="s">
        <v>43</v>
      </c>
      <c r="B50" s="47">
        <f t="shared" ref="B50:M50" si="11">B48*(0.17+$B$72)</f>
        <v>0</v>
      </c>
      <c r="C50" s="47">
        <f t="shared" si="11"/>
        <v>0</v>
      </c>
      <c r="D50" s="47">
        <f t="shared" si="11"/>
        <v>0</v>
      </c>
      <c r="E50" s="47">
        <f t="shared" si="11"/>
        <v>0</v>
      </c>
      <c r="F50" s="47">
        <f t="shared" si="11"/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</row>
    <row r="51" spans="1:14" s="48" customFormat="1" x14ac:dyDescent="0.2">
      <c r="A51" s="47" t="s">
        <v>44</v>
      </c>
      <c r="B51" s="47">
        <f t="shared" ref="B51:M51" si="12">B49*(0.17+$B$72)</f>
        <v>0</v>
      </c>
      <c r="C51" s="47">
        <f t="shared" si="12"/>
        <v>0</v>
      </c>
      <c r="D51" s="47">
        <f t="shared" si="12"/>
        <v>0</v>
      </c>
      <c r="E51" s="47">
        <f t="shared" si="12"/>
        <v>0</v>
      </c>
      <c r="F51" s="47">
        <f t="shared" si="12"/>
        <v>0</v>
      </c>
      <c r="G51" s="47">
        <f t="shared" si="12"/>
        <v>0</v>
      </c>
      <c r="H51" s="47">
        <f t="shared" si="12"/>
        <v>0</v>
      </c>
      <c r="I51" s="47">
        <f t="shared" si="12"/>
        <v>0</v>
      </c>
      <c r="J51" s="47">
        <f t="shared" si="12"/>
        <v>0</v>
      </c>
      <c r="K51" s="47">
        <f t="shared" si="12"/>
        <v>0</v>
      </c>
      <c r="L51" s="47">
        <f t="shared" si="12"/>
        <v>0</v>
      </c>
      <c r="M51" s="47">
        <f t="shared" si="12"/>
        <v>0</v>
      </c>
    </row>
    <row r="52" spans="1:14" s="46" customFormat="1" x14ac:dyDescent="0.2">
      <c r="A52" s="49"/>
      <c r="K52" s="50"/>
      <c r="L52" s="50"/>
      <c r="M52" s="50"/>
      <c r="N52" s="50"/>
    </row>
    <row r="53" spans="1:14" s="46" customFormat="1" x14ac:dyDescent="0.2">
      <c r="A53" s="49" t="s">
        <v>45</v>
      </c>
      <c r="B53" s="40">
        <f>B42+B48-B50</f>
        <v>35847.106666666688</v>
      </c>
      <c r="C53" s="40">
        <f>C42+SUM($B48:C48)-SUM($B50:C50)</f>
        <v>71694.213333333319</v>
      </c>
      <c r="D53" s="40">
        <f>D42+SUM($B48:D48)-SUM($B50:D50)</f>
        <v>120682.98666666669</v>
      </c>
      <c r="E53" s="40">
        <f>E42+SUM($B48:E48)-SUM($B50:E50)</f>
        <v>169671.76</v>
      </c>
      <c r="F53" s="40">
        <f>F42+SUM($B48:F48)-SUM($B50:F50)</f>
        <v>236643.8666666667</v>
      </c>
      <c r="G53" s="40">
        <f>G42+SUM($B48:G48)-SUM($B50:G50)</f>
        <v>54170.986666666809</v>
      </c>
      <c r="H53" s="40">
        <f>H42+SUM($B48:H48)-SUM($B50:H50)</f>
        <v>69172.426666666754</v>
      </c>
      <c r="I53" s="40">
        <f>I42+SUM($B48:I48)-SUM($B50:I50)</f>
        <v>96692.533333333442</v>
      </c>
      <c r="J53" s="40">
        <f>J42+SUM($B48:J48)-SUM($B50:J50)</f>
        <v>96692.533333333442</v>
      </c>
      <c r="K53" s="40">
        <f>K42+SUM($B48:K48)-SUM($B50:K50)</f>
        <v>96692.533333333209</v>
      </c>
      <c r="L53" s="40">
        <f>L42+SUM($B48:L48)-SUM($B50:L50)</f>
        <v>96692.533333332976</v>
      </c>
      <c r="M53" s="40">
        <f>M42+SUM($B48:M48)-SUM($B50:M50)</f>
        <v>50364.639999999665</v>
      </c>
      <c r="N53" s="4"/>
    </row>
    <row r="54" spans="1:14" s="46" customFormat="1" x14ac:dyDescent="0.2">
      <c r="A54" s="49" t="s">
        <v>46</v>
      </c>
      <c r="B54" s="41">
        <f>MAX(0,MIN(B48-B50,B53)*B44+B43)</f>
        <v>5071.9795500000055</v>
      </c>
      <c r="C54" s="41">
        <f>MAX(0,MIN(SUM($B48:C48)-SUM($B50:C50),C53)*C44+C43)</f>
        <v>10143.959099999996</v>
      </c>
      <c r="D54" s="41">
        <f>MAX(0,MIN(SUM($B48:D48)-SUM($B50:D50),D53)*D44+D43)</f>
        <v>18238.521983333339</v>
      </c>
      <c r="E54" s="41">
        <f>MAX(0,MIN(SUM($B48:E48)-SUM($B50:E50),E53)*E44+E43)</f>
        <v>26333.084866666672</v>
      </c>
      <c r="F54" s="41">
        <f>MAX(0,MIN(SUM($B48:F48)-SUM($B50:F50),F53)*F44+F43)</f>
        <v>39425.216750000014</v>
      </c>
      <c r="G54" s="41">
        <f>MAX(0,MIN(SUM($B48:G48)-SUM($B50:G50),G53)*G44+G43)</f>
        <v>3584.7360000000131</v>
      </c>
      <c r="H54" s="41">
        <f>MAX(0,MIN(SUM($B48:H48)-SUM($B50:H50),H53)*H44+H43)</f>
        <v>4719.7568000000083</v>
      </c>
      <c r="I54" s="41">
        <f>MAX(0,MIN(SUM($B48:I48)-SUM($B50:I50),I53)*I44+I43)</f>
        <v>7300.927800000014</v>
      </c>
      <c r="J54" s="41">
        <f>MAX(0,MIN(SUM($B48:J48)-SUM($B50:J50),J53)*J44+J43)</f>
        <v>6766.3488000000098</v>
      </c>
      <c r="K54" s="41">
        <f>MAX(0,MIN(SUM($B48:K48)-SUM($B50:K50),K53)*K44+K43)</f>
        <v>6551.2399999999889</v>
      </c>
      <c r="L54" s="41">
        <f>MAX(0,MIN(SUM($B48:L48)-SUM($B50:L50),L53)*L44+L43)</f>
        <v>6336.1311999999671</v>
      </c>
      <c r="M54" s="41">
        <f>MAX(0,MIN(SUM($B48:M48)-SUM($B50:M50),M53)*M44+M43)</f>
        <v>2518.2319999999836</v>
      </c>
      <c r="N54" s="4"/>
    </row>
    <row r="55" spans="1:14" s="56" customFormat="1" ht="12.75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4"/>
    </row>
    <row r="56" spans="1:14" x14ac:dyDescent="0.2">
      <c r="A56" s="95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97">
        <f>-G87</f>
        <v>-37800.501550000015</v>
      </c>
      <c r="H56" s="97">
        <f>-$G56/5</f>
        <v>7560.1003100000034</v>
      </c>
      <c r="I56" s="97">
        <f t="shared" ref="I56:L56" si="13">-$G56/5</f>
        <v>7560.1003100000034</v>
      </c>
      <c r="J56" s="97">
        <f t="shared" si="13"/>
        <v>7560.1003100000034</v>
      </c>
      <c r="K56" s="97">
        <f t="shared" si="13"/>
        <v>7560.1003100000034</v>
      </c>
      <c r="L56" s="97">
        <f t="shared" si="13"/>
        <v>7560.1003100000034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5071.9799999999996</v>
      </c>
      <c r="D57" s="11">
        <f t="shared" ref="D57:M57" si="14">C57+C58+D56</f>
        <v>10143.959999999999</v>
      </c>
      <c r="E57" s="11">
        <f t="shared" si="14"/>
        <v>18238.52</v>
      </c>
      <c r="F57" s="11">
        <f t="shared" si="14"/>
        <v>26333.08</v>
      </c>
      <c r="G57" s="11">
        <f t="shared" si="14"/>
        <v>1624.7184499999858</v>
      </c>
      <c r="H57" s="11">
        <f t="shared" si="14"/>
        <v>11144.83875999999</v>
      </c>
      <c r="I57" s="11">
        <f t="shared" si="14"/>
        <v>12279.859069999993</v>
      </c>
      <c r="J57" s="11">
        <f t="shared" si="14"/>
        <v>14861.029379999996</v>
      </c>
      <c r="K57" s="11">
        <f t="shared" si="14"/>
        <v>14326.449689999999</v>
      </c>
      <c r="L57" s="11">
        <f t="shared" si="14"/>
        <v>14111.340000000004</v>
      </c>
      <c r="M57" s="11">
        <f t="shared" si="14"/>
        <v>6336.1300000000037</v>
      </c>
      <c r="N57" s="4"/>
    </row>
    <row r="58" spans="1:14" x14ac:dyDescent="0.2">
      <c r="A58" s="4" t="s">
        <v>22</v>
      </c>
      <c r="B58" s="11">
        <f>MIN(ROUND(B54-B57,2),B59)</f>
        <v>5071.9799999999996</v>
      </c>
      <c r="C58" s="11">
        <f>MAX(-SUM($B58:B58)-SUM($B56:C56),  IF(COUNTIF($B$63:B$63,"X")&gt;0,0,MIN(ROUND(C54-C57,2),C59)))</f>
        <v>5071.9799999999996</v>
      </c>
      <c r="D58" s="11">
        <f>MAX(-SUM($B58:C58)-SUM($B56:D56),  IF(COUNTIF($B$63:C$63,"X")&gt;0,0,MIN(ROUND(D54-D57,2),D59)))</f>
        <v>8094.56</v>
      </c>
      <c r="E58" s="11">
        <f>MAX(-SUM($B58:D58)-SUM($B56:E56),  IF(COUNTIF($B$63:D$63,"X")&gt;0,0,MIN(ROUND(E54-E57,2),E59)))</f>
        <v>8094.56</v>
      </c>
      <c r="F58" s="11">
        <f>MAX(-SUM($B58:E58)-SUM($B56:F56),  IF(COUNTIF($B$63:E$63,"X")&gt;0,0,MIN(ROUND(F54-F57,2),F59)))</f>
        <v>13092.14</v>
      </c>
      <c r="G58" s="11">
        <f>MAX(-SUM($B58:F58)-SUM($B56:G56),  IF(COUNTIF($B$63:F$63,"X")&gt;0,0,MIN(ROUND(G54-G57,2),G59)))</f>
        <v>1960.02</v>
      </c>
      <c r="H58" s="11">
        <f>MAX(-SUM($B58:G58)-SUM($B56:H56),  IF(COUNTIF($B$63:G$63,"X")&gt;0,0,MIN(ROUND(H54-H57,2),H59)))</f>
        <v>-6425.08</v>
      </c>
      <c r="I58" s="11">
        <f>MAX(-SUM($B58:H58)-SUM($B56:I56),  IF(COUNTIF($B$63:H$63,"X")&gt;0,0,MIN(ROUND(I54-I57,2),I59)))</f>
        <v>-4978.93</v>
      </c>
      <c r="J58" s="11">
        <f>MAX(-SUM($B58:I58)-SUM($B56:J56),  IF(COUNTIF($B$63:I$63,"X")&gt;0,0,MIN(ROUND(J54-J57,2),J59)))</f>
        <v>-8094.68</v>
      </c>
      <c r="K58" s="11">
        <f>MAX(-SUM($B58:J58)-SUM($B56:K56),  IF(COUNTIF($B$63:J$63,"X")&gt;0,0,MIN(ROUND(K54-K57,2),K59)))</f>
        <v>-7775.21</v>
      </c>
      <c r="L58" s="11">
        <f>MAX(-SUM($B58:K58)-SUM($B56:L56),  IF(COUNTIF($B$63:K$63,"X")&gt;0,0,MIN(ROUND(L54-L57,2),L59)))</f>
        <v>-7775.21</v>
      </c>
      <c r="M58" s="11">
        <f>MAX(-SUM($B58:L58)-SUM($B56:M56),  IF(COUNTIF($B$63:L$63,"X")&gt;0,0,MIN(ROUND(M54-M57,2),M59)))</f>
        <v>-3817.9</v>
      </c>
      <c r="N58" s="8">
        <f>SUM(B58:M58)</f>
        <v>2518.2299999999964</v>
      </c>
    </row>
    <row r="59" spans="1:14" s="26" customFormat="1" x14ac:dyDescent="0.2">
      <c r="A59" s="24" t="s">
        <v>30</v>
      </c>
      <c r="B59" s="25">
        <f>(SUM(B3:B5,,B63:B65)) *0.35</f>
        <v>49291.666666666664</v>
      </c>
      <c r="C59" s="25">
        <f t="shared" ref="C59:M59" si="15">(SUM(C3:C5,C63:C65)) *0.35</f>
        <v>49291.666666666664</v>
      </c>
      <c r="D59" s="25">
        <f t="shared" si="15"/>
        <v>70583.333333333328</v>
      </c>
      <c r="E59" s="25">
        <f t="shared" si="15"/>
        <v>53083.333333333328</v>
      </c>
      <c r="F59" s="25">
        <f t="shared" si="15"/>
        <v>60666.666666666664</v>
      </c>
      <c r="G59" s="25">
        <f t="shared" si="15"/>
        <v>32083.333333333328</v>
      </c>
      <c r="H59" s="25">
        <f t="shared" si="15"/>
        <v>56875</v>
      </c>
      <c r="I59" s="25">
        <f t="shared" si="15"/>
        <v>60666.666666666664</v>
      </c>
      <c r="J59" s="25">
        <f t="shared" si="15"/>
        <v>60666.666666666664</v>
      </c>
      <c r="K59" s="25">
        <f t="shared" si="15"/>
        <v>64458.333333333328</v>
      </c>
      <c r="L59" s="25">
        <f t="shared" si="15"/>
        <v>72041.666666666672</v>
      </c>
      <c r="M59" s="25">
        <f t="shared" si="15"/>
        <v>42291.666666666664</v>
      </c>
    </row>
    <row r="60" spans="1:14" s="26" customFormat="1" x14ac:dyDescent="0.2">
      <c r="A60" s="24" t="s">
        <v>60</v>
      </c>
      <c r="B60" s="25">
        <f t="shared" ref="B60:M60" si="16">MAX(0,ROUND(B43-B57,2)-B58)</f>
        <v>0</v>
      </c>
      <c r="C60" s="25">
        <f t="shared" si="16"/>
        <v>0</v>
      </c>
      <c r="D60" s="25">
        <f t="shared" si="16"/>
        <v>0</v>
      </c>
      <c r="E60" s="25">
        <f t="shared" si="16"/>
        <v>0</v>
      </c>
      <c r="F60" s="25">
        <f t="shared" si="16"/>
        <v>0</v>
      </c>
      <c r="G60" s="25">
        <f t="shared" si="16"/>
        <v>0</v>
      </c>
      <c r="H60" s="25">
        <f t="shared" si="16"/>
        <v>0</v>
      </c>
      <c r="I60" s="25">
        <f t="shared" si="16"/>
        <v>0</v>
      </c>
      <c r="J60" s="25">
        <f t="shared" si="16"/>
        <v>0</v>
      </c>
      <c r="K60" s="25">
        <f t="shared" si="16"/>
        <v>0</v>
      </c>
      <c r="L60" s="25">
        <f t="shared" si="16"/>
        <v>0</v>
      </c>
      <c r="M60" s="25">
        <f t="shared" si="16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6" customFormat="1" x14ac:dyDescent="0.2">
      <c r="A62" s="119" t="s">
        <v>84</v>
      </c>
      <c r="B62" s="90"/>
      <c r="C62" s="90"/>
      <c r="D62" s="90"/>
      <c r="E62" s="90"/>
      <c r="F62" s="90"/>
      <c r="G62" s="90"/>
      <c r="H62" s="90">
        <f>H58+H56</f>
        <v>1135.0203100000035</v>
      </c>
      <c r="I62" s="90">
        <f t="shared" ref="I62:M62" si="17">I58+I56</f>
        <v>2581.1703100000032</v>
      </c>
      <c r="J62" s="90">
        <f t="shared" si="17"/>
        <v>-534.57968999999684</v>
      </c>
      <c r="K62" s="90">
        <f t="shared" si="17"/>
        <v>-215.10968999999659</v>
      </c>
      <c r="L62" s="90">
        <f t="shared" si="17"/>
        <v>-215.10968999999659</v>
      </c>
      <c r="M62" s="90">
        <f t="shared" si="17"/>
        <v>-3817.9</v>
      </c>
    </row>
    <row r="63" spans="1:14" s="30" customFormat="1" x14ac:dyDescent="0.2">
      <c r="A63" s="28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4" x14ac:dyDescent="0.2">
      <c r="A64" s="39" t="s">
        <v>35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/>
      <c r="H64" s="16"/>
      <c r="I64" s="15"/>
      <c r="J64" s="17"/>
      <c r="K64" s="17"/>
      <c r="L64" s="17"/>
      <c r="M64" s="17"/>
      <c r="N64" s="3"/>
    </row>
    <row r="65" spans="1:17" x14ac:dyDescent="0.2">
      <c r="A65" s="39" t="s">
        <v>28</v>
      </c>
      <c r="B65" s="58">
        <v>0</v>
      </c>
      <c r="C65" s="58">
        <v>0</v>
      </c>
      <c r="D65" s="58">
        <v>50000</v>
      </c>
      <c r="E65" s="58">
        <v>0</v>
      </c>
      <c r="F65" s="58">
        <v>0</v>
      </c>
      <c r="G65" s="58"/>
      <c r="H65" s="16"/>
      <c r="I65" s="16"/>
      <c r="J65" s="16"/>
      <c r="K65" s="16"/>
      <c r="L65" s="17"/>
      <c r="M65" s="17"/>
      <c r="N65" s="3"/>
    </row>
    <row r="66" spans="1:17" s="37" customFormat="1" x14ac:dyDescent="0.2">
      <c r="A66" s="35" t="str">
        <f>A64&amp;" (Ap)"</f>
        <v>Prorrateo Vacaciones (Ap)</v>
      </c>
      <c r="B66" s="96">
        <f>B64*(0.17+$B$72)</f>
        <v>0</v>
      </c>
      <c r="C66" s="96">
        <f t="shared" ref="C66:M66" si="18">C64*(0.17+$B$72)</f>
        <v>0</v>
      </c>
      <c r="D66" s="96">
        <f t="shared" si="18"/>
        <v>0</v>
      </c>
      <c r="E66" s="96">
        <f t="shared" si="18"/>
        <v>0</v>
      </c>
      <c r="F66" s="96">
        <f t="shared" si="18"/>
        <v>0</v>
      </c>
      <c r="G66" s="96">
        <f t="shared" si="18"/>
        <v>0</v>
      </c>
      <c r="H66" s="96">
        <f t="shared" si="18"/>
        <v>0</v>
      </c>
      <c r="I66" s="96">
        <f t="shared" si="18"/>
        <v>0</v>
      </c>
      <c r="J66" s="96">
        <f t="shared" si="18"/>
        <v>0</v>
      </c>
      <c r="K66" s="96">
        <f t="shared" si="18"/>
        <v>0</v>
      </c>
      <c r="L66" s="96">
        <f t="shared" si="18"/>
        <v>0</v>
      </c>
      <c r="M66" s="96">
        <f t="shared" si="18"/>
        <v>0</v>
      </c>
      <c r="N66" s="36"/>
    </row>
    <row r="67" spans="1:17" s="37" customFormat="1" x14ac:dyDescent="0.2">
      <c r="A67" s="35" t="str">
        <f>A65&amp;" (Ap)"</f>
        <v>Prorrateo Premios (Ap)</v>
      </c>
      <c r="B67" s="96">
        <f t="shared" ref="B67:M67" si="19">B65*(0.17+$B$72)</f>
        <v>0</v>
      </c>
      <c r="C67" s="96">
        <f t="shared" si="19"/>
        <v>0</v>
      </c>
      <c r="D67" s="96">
        <f t="shared" si="19"/>
        <v>8500</v>
      </c>
      <c r="E67" s="96">
        <f t="shared" si="19"/>
        <v>0</v>
      </c>
      <c r="F67" s="96">
        <f t="shared" si="19"/>
        <v>0</v>
      </c>
      <c r="G67" s="96">
        <f t="shared" si="19"/>
        <v>0</v>
      </c>
      <c r="H67" s="96">
        <f t="shared" si="19"/>
        <v>0</v>
      </c>
      <c r="I67" s="96">
        <f t="shared" si="19"/>
        <v>0</v>
      </c>
      <c r="J67" s="96">
        <f t="shared" si="19"/>
        <v>0</v>
      </c>
      <c r="K67" s="96">
        <f t="shared" si="19"/>
        <v>0</v>
      </c>
      <c r="L67" s="96">
        <f t="shared" si="19"/>
        <v>0</v>
      </c>
      <c r="M67" s="96">
        <f t="shared" si="19"/>
        <v>0</v>
      </c>
      <c r="N67" s="36"/>
    </row>
    <row r="68" spans="1:17" x14ac:dyDescent="0.2">
      <c r="A68" s="31"/>
      <c r="B68" s="59"/>
      <c r="C68" s="59"/>
      <c r="D68" s="59"/>
      <c r="E68" s="59"/>
      <c r="F68" s="91"/>
      <c r="J68" s="93"/>
    </row>
    <row r="69" spans="1:17" x14ac:dyDescent="0.2">
      <c r="A69" s="31" t="s">
        <v>20</v>
      </c>
      <c r="B69" s="33">
        <v>0</v>
      </c>
      <c r="C69" s="22">
        <f t="shared" ref="C69:M71" si="20">B69</f>
        <v>0</v>
      </c>
      <c r="D69" s="22">
        <f t="shared" si="20"/>
        <v>0</v>
      </c>
      <c r="E69" s="22">
        <f t="shared" si="20"/>
        <v>0</v>
      </c>
      <c r="F69" s="22">
        <f t="shared" si="20"/>
        <v>0</v>
      </c>
      <c r="G69" s="22">
        <f t="shared" si="20"/>
        <v>0</v>
      </c>
      <c r="H69" s="22">
        <f t="shared" si="20"/>
        <v>0</v>
      </c>
      <c r="I69" s="22">
        <f t="shared" si="20"/>
        <v>0</v>
      </c>
      <c r="J69" s="22">
        <f t="shared" si="20"/>
        <v>0</v>
      </c>
      <c r="K69" s="22">
        <f t="shared" si="20"/>
        <v>0</v>
      </c>
      <c r="L69" s="22">
        <f t="shared" si="20"/>
        <v>0</v>
      </c>
      <c r="M69" s="22">
        <f t="shared" si="20"/>
        <v>0</v>
      </c>
      <c r="N69" s="23"/>
    </row>
    <row r="70" spans="1:17" x14ac:dyDescent="0.2">
      <c r="A70" s="31" t="s">
        <v>21</v>
      </c>
      <c r="B70" s="33">
        <v>0</v>
      </c>
      <c r="C70" s="22">
        <f t="shared" si="20"/>
        <v>0</v>
      </c>
      <c r="D70" s="22">
        <f t="shared" si="20"/>
        <v>0</v>
      </c>
      <c r="E70" s="22">
        <f t="shared" si="20"/>
        <v>0</v>
      </c>
      <c r="F70" s="22">
        <f t="shared" si="20"/>
        <v>0</v>
      </c>
      <c r="G70" s="22">
        <f t="shared" si="20"/>
        <v>0</v>
      </c>
      <c r="H70" s="22">
        <f t="shared" si="20"/>
        <v>0</v>
      </c>
      <c r="I70" s="22">
        <f t="shared" si="20"/>
        <v>0</v>
      </c>
      <c r="J70" s="22">
        <f t="shared" si="20"/>
        <v>0</v>
      </c>
      <c r="K70" s="22">
        <f t="shared" si="20"/>
        <v>0</v>
      </c>
      <c r="L70" s="22">
        <f t="shared" si="20"/>
        <v>0</v>
      </c>
      <c r="M70" s="22">
        <f t="shared" si="20"/>
        <v>0</v>
      </c>
      <c r="N70" s="23"/>
    </row>
    <row r="71" spans="1:17" x14ac:dyDescent="0.2">
      <c r="A71" s="124" t="s">
        <v>88</v>
      </c>
      <c r="B71" s="33">
        <v>0</v>
      </c>
      <c r="C71" s="22">
        <f t="shared" si="20"/>
        <v>0</v>
      </c>
      <c r="D71" s="22">
        <f t="shared" si="20"/>
        <v>0</v>
      </c>
      <c r="E71" s="22">
        <f t="shared" si="20"/>
        <v>0</v>
      </c>
      <c r="F71" s="22">
        <f t="shared" si="20"/>
        <v>0</v>
      </c>
      <c r="G71" s="22">
        <f t="shared" si="20"/>
        <v>0</v>
      </c>
      <c r="H71" s="22">
        <f t="shared" si="20"/>
        <v>0</v>
      </c>
      <c r="I71" s="22">
        <f t="shared" si="20"/>
        <v>0</v>
      </c>
      <c r="J71" s="22">
        <f t="shared" si="20"/>
        <v>0</v>
      </c>
      <c r="K71" s="22">
        <f t="shared" si="20"/>
        <v>0</v>
      </c>
      <c r="L71" s="22">
        <f t="shared" si="20"/>
        <v>0</v>
      </c>
      <c r="M71" s="22">
        <f t="shared" si="20"/>
        <v>0</v>
      </c>
      <c r="N71" s="23"/>
    </row>
    <row r="72" spans="1:17" x14ac:dyDescent="0.2">
      <c r="A72" s="52" t="s">
        <v>47</v>
      </c>
      <c r="B72" s="53">
        <v>0</v>
      </c>
      <c r="F72" s="64"/>
      <c r="J72" s="12"/>
      <c r="K72" s="12"/>
      <c r="L72" s="12"/>
      <c r="M72" s="12"/>
    </row>
    <row r="74" spans="1:17" x14ac:dyDescent="0.2">
      <c r="B74" s="64"/>
    </row>
    <row r="75" spans="1:17" s="99" customFormat="1" ht="12.75" x14ac:dyDescent="0.25">
      <c r="A75" s="104" t="s">
        <v>72</v>
      </c>
      <c r="B75" s="104">
        <f t="shared" ref="B75:M75" si="21">SUM(B3:B4,B64:B65)</f>
        <v>130000</v>
      </c>
      <c r="C75" s="104">
        <f t="shared" si="21"/>
        <v>130000</v>
      </c>
      <c r="D75" s="104">
        <f t="shared" si="21"/>
        <v>190000</v>
      </c>
      <c r="E75" s="104">
        <f t="shared" si="21"/>
        <v>140000</v>
      </c>
      <c r="F75" s="104">
        <f t="shared" si="21"/>
        <v>160000</v>
      </c>
      <c r="G75" s="104">
        <f t="shared" si="21"/>
        <v>150000</v>
      </c>
      <c r="H75" s="104">
        <f t="shared" si="21"/>
        <v>150000</v>
      </c>
      <c r="I75" s="104">
        <f t="shared" si="21"/>
        <v>160000</v>
      </c>
      <c r="J75" s="104">
        <f t="shared" si="21"/>
        <v>160000</v>
      </c>
      <c r="K75" s="104">
        <f t="shared" si="21"/>
        <v>170000</v>
      </c>
      <c r="L75" s="104">
        <f t="shared" si="21"/>
        <v>190000</v>
      </c>
      <c r="M75" s="104">
        <f t="shared" si="21"/>
        <v>190000</v>
      </c>
      <c r="O75" s="105"/>
      <c r="P75" s="105"/>
      <c r="Q75" s="24"/>
    </row>
    <row r="76" spans="1:17" s="99" customFormat="1" x14ac:dyDescent="0.2">
      <c r="A76" s="104" t="s">
        <v>73</v>
      </c>
      <c r="B76" s="104">
        <f>AVERAGE($B75:B75)</f>
        <v>130000</v>
      </c>
      <c r="C76" s="104">
        <f>AVERAGE($B75:C75)</f>
        <v>130000</v>
      </c>
      <c r="D76" s="104">
        <f>AVERAGE($B75:D75)</f>
        <v>150000</v>
      </c>
      <c r="E76" s="104">
        <f>AVERAGE($B75:E75)</f>
        <v>147500</v>
      </c>
      <c r="F76" s="104">
        <f>AVERAGE($B75:F75)</f>
        <v>150000</v>
      </c>
      <c r="G76" s="104">
        <f>AVERAGE($B75:G75)</f>
        <v>150000</v>
      </c>
      <c r="H76" s="104">
        <f>AVERAGE($B75:H75)</f>
        <v>150000</v>
      </c>
      <c r="I76" s="104">
        <f>AVERAGE($B75:I75)</f>
        <v>151250</v>
      </c>
      <c r="J76" s="106">
        <f>AVERAGE($J75:J75)</f>
        <v>160000</v>
      </c>
      <c r="K76" s="106">
        <f>AVERAGE($J75:K75)</f>
        <v>165000</v>
      </c>
      <c r="L76" s="106">
        <f>AVERAGE($J75:L75)</f>
        <v>173333.33333333334</v>
      </c>
      <c r="M76" s="106">
        <f>AVERAGE($J75:M75)</f>
        <v>177500</v>
      </c>
      <c r="O76" s="107"/>
      <c r="P76" s="108"/>
      <c r="Q76" s="109"/>
    </row>
    <row r="77" spans="1:17" s="99" customFormat="1" x14ac:dyDescent="0.2">
      <c r="A77" s="104" t="s">
        <v>74</v>
      </c>
      <c r="B77" s="104">
        <f>MIN(B75:B76)</f>
        <v>130000</v>
      </c>
      <c r="C77" s="104">
        <f t="shared" ref="C77:M77" si="22">MIN(C75:C76)</f>
        <v>130000</v>
      </c>
      <c r="D77" s="104">
        <f t="shared" si="22"/>
        <v>150000</v>
      </c>
      <c r="E77" s="104">
        <f t="shared" si="22"/>
        <v>140000</v>
      </c>
      <c r="F77" s="104">
        <f t="shared" si="22"/>
        <v>150000</v>
      </c>
      <c r="G77" s="104">
        <f t="shared" si="22"/>
        <v>150000</v>
      </c>
      <c r="H77" s="104">
        <f t="shared" si="22"/>
        <v>150000</v>
      </c>
      <c r="I77" s="104">
        <f t="shared" si="22"/>
        <v>151250</v>
      </c>
      <c r="J77" s="104">
        <f t="shared" si="22"/>
        <v>160000</v>
      </c>
      <c r="K77" s="104">
        <f t="shared" si="22"/>
        <v>165000</v>
      </c>
      <c r="L77" s="104">
        <f t="shared" si="22"/>
        <v>173333.33333333334</v>
      </c>
      <c r="M77" s="104">
        <f t="shared" si="22"/>
        <v>177500</v>
      </c>
      <c r="O77" s="107"/>
      <c r="P77" s="108"/>
      <c r="Q77" s="109"/>
    </row>
    <row r="78" spans="1:17" s="99" customForma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O78" s="107"/>
      <c r="P78" s="108"/>
      <c r="Q78" s="109"/>
    </row>
    <row r="79" spans="1:17" s="99" customFormat="1" ht="13.5" x14ac:dyDescent="0.35">
      <c r="A79" s="110" t="s">
        <v>75</v>
      </c>
      <c r="G79" s="114" t="s">
        <v>78</v>
      </c>
      <c r="H79" s="111"/>
      <c r="J79" s="112"/>
      <c r="K79" s="112"/>
      <c r="L79" s="112"/>
      <c r="M79" s="112"/>
      <c r="O79" s="107"/>
      <c r="P79" s="108"/>
      <c r="Q79" s="109"/>
    </row>
    <row r="80" spans="1:17" s="99" customFormat="1" x14ac:dyDescent="0.2">
      <c r="A80" s="113" t="s">
        <v>76</v>
      </c>
      <c r="B80" s="113">
        <f>IF(B77&lt;150000, MAX(0,B11+B16-SUM(B18:B27,B32:B37)),0)</f>
        <v>35847.106666666688</v>
      </c>
      <c r="C80" s="113">
        <f>IF(C77&lt;150000, MAX(0,C11+C16-SUM(C18:C27,C32:C37)),0)</f>
        <v>35847.106666666688</v>
      </c>
      <c r="D80" s="113">
        <f>IF(D77&lt;150000, MAX(0,D11+D16-SUM(D18:D27,D32:D37)),0)</f>
        <v>0</v>
      </c>
      <c r="E80" s="113">
        <f>IF(E77&lt;150000, MAX(0,E11+E16-SUM(E18:E27,E32:E37)),0)</f>
        <v>48988.773333333345</v>
      </c>
      <c r="F80" s="113">
        <f>IF(F77&lt;150000, MAX(0,F11+F16-SUM(F18:F27,F32:F37)),0)</f>
        <v>0</v>
      </c>
      <c r="G80" s="86">
        <f>SUM(B80:F80)</f>
        <v>120682.98666666672</v>
      </c>
      <c r="H80" s="111"/>
      <c r="J80" s="112"/>
      <c r="K80" s="112"/>
      <c r="L80" s="112"/>
      <c r="M80" s="112"/>
      <c r="O80" s="107"/>
      <c r="P80" s="108"/>
      <c r="Q80" s="109"/>
    </row>
    <row r="81" spans="1:19" s="99" customFormat="1" x14ac:dyDescent="0.2">
      <c r="A81" s="113" t="s">
        <v>77</v>
      </c>
      <c r="B81" s="113">
        <f>VLOOKUP(B77,Tablas!$G:$H,2)</f>
        <v>0</v>
      </c>
      <c r="C81" s="113">
        <f>VLOOKUP(C77,Tablas!$G:$H,2)</f>
        <v>0</v>
      </c>
      <c r="D81" s="113">
        <f>VLOOKUP(D77,Tablas!$G:$H,2)</f>
        <v>42979</v>
      </c>
      <c r="E81" s="113">
        <f>VLOOKUP(E77,Tablas!$G:$H,2)</f>
        <v>0</v>
      </c>
      <c r="F81" s="113">
        <f>VLOOKUP(F77,Tablas!$G:$H,2)</f>
        <v>42979</v>
      </c>
      <c r="G81" s="86">
        <f>SUM(B81:F81)</f>
        <v>85958</v>
      </c>
      <c r="H81" s="111"/>
      <c r="J81" s="112"/>
      <c r="K81" s="112"/>
      <c r="L81" s="112"/>
      <c r="M81" s="112"/>
      <c r="O81" s="107"/>
      <c r="P81" s="108"/>
      <c r="Q81" s="109"/>
    </row>
    <row r="83" spans="1:19" x14ac:dyDescent="0.2">
      <c r="F83" s="115" t="s">
        <v>81</v>
      </c>
      <c r="G83" s="86">
        <f>F42-G80-G81</f>
        <v>30002.879999999976</v>
      </c>
      <c r="H83" s="116">
        <f>VLOOKUP(MAX(0,G83),Tablas!$A$61:$D$70,4)</f>
        <v>0.09</v>
      </c>
    </row>
    <row r="84" spans="1:19" x14ac:dyDescent="0.2">
      <c r="F84" s="115" t="s">
        <v>80</v>
      </c>
      <c r="G84" s="86">
        <f>F53-G80-G81</f>
        <v>30002.879999999976</v>
      </c>
    </row>
    <row r="85" spans="1:19" x14ac:dyDescent="0.2">
      <c r="F85" s="115" t="s">
        <v>79</v>
      </c>
      <c r="G85" s="86">
        <f>MAX(0,MIN(SUM($B48:F48)-SUM($B50:F50),G84)*H83+VLOOKUP(G83,Tablas!$A$61:$D$70,3)+(G83-VLOOKUP(G83,Tablas!$A$61:$D$70,1))*VLOOKUP(G83,Tablas!$A$61:$D$70,4))</f>
        <v>1624.7151999999976</v>
      </c>
    </row>
    <row r="87" spans="1:19" s="2" customFormat="1" x14ac:dyDescent="0.2">
      <c r="A87" s="4"/>
      <c r="B87" s="5"/>
      <c r="C87" s="5"/>
      <c r="D87" s="5"/>
      <c r="E87" s="5"/>
      <c r="F87" s="115" t="s">
        <v>82</v>
      </c>
      <c r="G87" s="86">
        <f>F54-G85</f>
        <v>37800.501550000015</v>
      </c>
      <c r="I87" s="5"/>
      <c r="J87" s="13"/>
      <c r="K87" s="13"/>
      <c r="L87" s="13"/>
      <c r="M87" s="13"/>
      <c r="N87" s="5"/>
      <c r="O87" s="5"/>
      <c r="P87" s="5"/>
      <c r="Q87" s="5"/>
      <c r="R87" s="5"/>
      <c r="S87" s="5"/>
    </row>
  </sheetData>
  <conditionalFormatting sqref="A63 E63:J63">
    <cfRule type="cellIs" dxfId="5" priority="3" stopIfTrue="1" operator="equal">
      <formula>"x"</formula>
    </cfRule>
  </conditionalFormatting>
  <conditionalFormatting sqref="K63:M63">
    <cfRule type="cellIs" dxfId="4" priority="2" stopIfTrue="1" operator="equal">
      <formula>"x"</formula>
    </cfRule>
  </conditionalFormatting>
  <conditionalFormatting sqref="B63:D63">
    <cfRule type="cellIs" dxfId="3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E906-FC0C-4B6F-858B-5D838FE59490}">
  <sheetPr>
    <pageSetUpPr fitToPage="1"/>
  </sheetPr>
  <dimension ref="A1:S87"/>
  <sheetViews>
    <sheetView zoomScaleNormal="100" workbookViewId="0">
      <pane xSplit="1" ySplit="2" topLeftCell="B24" activePane="bottomRight" state="frozen"/>
      <selection activeCell="J4" sqref="J4"/>
      <selection pane="topRight" activeCell="J4" sqref="J4"/>
      <selection pane="bottomLeft" activeCell="J4" sqref="J4"/>
      <selection pane="bottomRight" activeCell="G29" sqref="G29:M29"/>
    </sheetView>
  </sheetViews>
  <sheetFormatPr baseColWidth="10" defaultColWidth="11.42578125" defaultRowHeight="11.25" x14ac:dyDescent="0.2"/>
  <cols>
    <col min="1" max="1" width="31.42578125" style="4" customWidth="1"/>
    <col min="2" max="2" width="11.42578125" style="5" bestFit="1" customWidth="1"/>
    <col min="3" max="3" width="12.42578125" style="5" customWidth="1"/>
    <col min="4" max="5" width="11.140625" style="5" bestFit="1" customWidth="1"/>
    <col min="6" max="6" width="14.85546875" style="5" customWidth="1"/>
    <col min="7" max="7" width="11.42578125" style="5" bestFit="1" customWidth="1"/>
    <col min="8" max="8" width="11.42578125" style="2" bestFit="1" customWidth="1"/>
    <col min="9" max="9" width="11.42578125" style="5" bestFit="1" customWidth="1"/>
    <col min="10" max="12" width="11.42578125" style="13" bestFit="1" customWidth="1"/>
    <col min="13" max="13" width="12.7109375" style="13" bestFit="1" customWidth="1"/>
    <col min="14" max="14" width="12.140625" style="5" bestFit="1" customWidth="1"/>
    <col min="15" max="16384" width="11.42578125" style="5"/>
  </cols>
  <sheetData>
    <row r="1" spans="1:19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4"/>
      <c r="P1" s="64"/>
      <c r="Q1" s="64"/>
      <c r="S1" s="64"/>
    </row>
    <row r="2" spans="1:19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14</v>
      </c>
      <c r="I2" s="6" t="s">
        <v>15</v>
      </c>
      <c r="J2" s="14" t="s">
        <v>16</v>
      </c>
      <c r="K2" s="14" t="s">
        <v>17</v>
      </c>
      <c r="L2" s="14" t="s">
        <v>18</v>
      </c>
      <c r="M2" s="14" t="s">
        <v>19</v>
      </c>
      <c r="N2" s="7" t="s">
        <v>27</v>
      </c>
    </row>
    <row r="3" spans="1:19" x14ac:dyDescent="0.2">
      <c r="A3" s="4" t="s">
        <v>7</v>
      </c>
      <c r="B3" s="79">
        <v>119627.00810606062</v>
      </c>
      <c r="C3" s="79">
        <v>126094.00143939396</v>
      </c>
      <c r="D3" s="79">
        <v>126093.99143939401</v>
      </c>
      <c r="E3" s="79">
        <v>144689.99477272702</v>
      </c>
      <c r="F3" s="79">
        <v>150949</v>
      </c>
      <c r="G3" s="79">
        <v>150949</v>
      </c>
      <c r="H3" s="79">
        <v>150295</v>
      </c>
      <c r="I3" s="79">
        <v>150295</v>
      </c>
      <c r="J3" s="79">
        <v>170000</v>
      </c>
      <c r="K3" s="79">
        <v>200000</v>
      </c>
      <c r="L3" s="79">
        <f t="shared" ref="L3:M3" si="0">K3</f>
        <v>200000</v>
      </c>
      <c r="M3" s="79">
        <f t="shared" si="0"/>
        <v>200000</v>
      </c>
      <c r="N3" s="8">
        <f>SUM(B3:M3)</f>
        <v>1888992.9957575756</v>
      </c>
      <c r="O3" s="3"/>
      <c r="P3" s="3"/>
      <c r="Q3" s="64"/>
    </row>
    <row r="4" spans="1:19" x14ac:dyDescent="0.2">
      <c r="A4" s="95" t="s">
        <v>58</v>
      </c>
      <c r="B4" s="79">
        <v>6800</v>
      </c>
      <c r="C4" s="79">
        <v>14232.64</v>
      </c>
      <c r="D4" s="79">
        <v>354.39</v>
      </c>
      <c r="E4" s="79">
        <v>214.97</v>
      </c>
      <c r="F4" s="79">
        <v>3034.44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8">
        <f t="shared" ref="N4:N39" si="1">SUM(B4:M4)</f>
        <v>24636.44</v>
      </c>
      <c r="P4" s="73"/>
    </row>
    <row r="5" spans="1:19" x14ac:dyDescent="0.2">
      <c r="A5" s="42" t="s">
        <v>36</v>
      </c>
      <c r="B5" s="58">
        <f>B3/12</f>
        <v>9968.9173421717187</v>
      </c>
      <c r="C5" s="58">
        <f>C3/12</f>
        <v>10507.83345328283</v>
      </c>
      <c r="D5" s="58">
        <f>D3/12</f>
        <v>10507.8326199495</v>
      </c>
      <c r="E5" s="58">
        <f>E3/12</f>
        <v>12057.499564393918</v>
      </c>
      <c r="F5" s="58">
        <f>F3/12</f>
        <v>12579.083333333334</v>
      </c>
      <c r="G5" s="120">
        <f>-SUM(B5:F5)</f>
        <v>-55621.166313131303</v>
      </c>
      <c r="H5" s="58">
        <f t="shared" ref="H5:L6" si="2">H3/12</f>
        <v>12524.583333333334</v>
      </c>
      <c r="I5" s="58">
        <f t="shared" si="2"/>
        <v>12524.583333333334</v>
      </c>
      <c r="J5" s="58">
        <f t="shared" si="2"/>
        <v>14166.666666666666</v>
      </c>
      <c r="K5" s="58">
        <f t="shared" si="2"/>
        <v>16666.666666666668</v>
      </c>
      <c r="L5" s="58">
        <f t="shared" si="2"/>
        <v>16666.666666666668</v>
      </c>
      <c r="M5" s="120">
        <f>-SUM(H5:L5)</f>
        <v>-72549.166666666672</v>
      </c>
      <c r="N5" s="8">
        <f t="shared" si="1"/>
        <v>0</v>
      </c>
    </row>
    <row r="6" spans="1:19" x14ac:dyDescent="0.2">
      <c r="A6" s="122" t="s">
        <v>86</v>
      </c>
      <c r="B6" s="58"/>
      <c r="C6" s="58"/>
      <c r="D6" s="58"/>
      <c r="E6" s="58"/>
      <c r="F6" s="58"/>
      <c r="G6" s="120">
        <f>MAX(B3:G3)/2</f>
        <v>75474.5</v>
      </c>
      <c r="H6" s="58">
        <f t="shared" si="2"/>
        <v>0</v>
      </c>
      <c r="I6" s="58">
        <f t="shared" si="2"/>
        <v>0</v>
      </c>
      <c r="J6" s="58">
        <f t="shared" si="2"/>
        <v>0</v>
      </c>
      <c r="K6" s="58">
        <f t="shared" si="2"/>
        <v>0</v>
      </c>
      <c r="L6" s="58">
        <f t="shared" si="2"/>
        <v>0</v>
      </c>
      <c r="M6" s="120">
        <f>MAX(H3:M3)/2</f>
        <v>100000</v>
      </c>
      <c r="N6" s="8">
        <f t="shared" si="1"/>
        <v>175474.5</v>
      </c>
    </row>
    <row r="7" spans="1:19" s="89" customFormat="1" x14ac:dyDescent="0.2">
      <c r="A7" s="87" t="s">
        <v>87</v>
      </c>
      <c r="B7" s="117"/>
      <c r="C7" s="117"/>
      <c r="D7" s="117"/>
      <c r="E7" s="117"/>
      <c r="F7" s="117"/>
      <c r="G7" s="121">
        <f>IF(G76&lt;=150000,-G6,0)</f>
        <v>0</v>
      </c>
      <c r="H7" s="117"/>
      <c r="I7" s="117"/>
      <c r="J7" s="117"/>
      <c r="K7" s="117"/>
      <c r="L7" s="117"/>
      <c r="M7" s="121">
        <f>IF(M76&lt;=175000,-M6,0)</f>
        <v>0</v>
      </c>
      <c r="N7" s="88">
        <f t="shared" si="1"/>
        <v>0</v>
      </c>
      <c r="P7" s="90"/>
      <c r="Q7" s="90"/>
    </row>
    <row r="8" spans="1:19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9" x14ac:dyDescent="0.2">
      <c r="A9" s="95" t="s">
        <v>61</v>
      </c>
      <c r="B9" s="58">
        <f t="shared" ref="B9:M9" si="3">B3*(0.17+$B$72)</f>
        <v>20336.591378030305</v>
      </c>
      <c r="C9" s="58">
        <f t="shared" si="3"/>
        <v>21435.980244696977</v>
      </c>
      <c r="D9" s="58">
        <f t="shared" si="3"/>
        <v>21435.978544696984</v>
      </c>
      <c r="E9" s="58">
        <f t="shared" si="3"/>
        <v>24597.299111363594</v>
      </c>
      <c r="F9" s="58">
        <f t="shared" si="3"/>
        <v>25661.33</v>
      </c>
      <c r="G9" s="58">
        <f t="shared" si="3"/>
        <v>25661.33</v>
      </c>
      <c r="H9" s="58">
        <f t="shared" si="3"/>
        <v>25550.15</v>
      </c>
      <c r="I9" s="58">
        <f t="shared" si="3"/>
        <v>25550.15</v>
      </c>
      <c r="J9" s="58">
        <f t="shared" si="3"/>
        <v>28900.000000000004</v>
      </c>
      <c r="K9" s="58">
        <f t="shared" si="3"/>
        <v>34000</v>
      </c>
      <c r="L9" s="58">
        <f t="shared" si="3"/>
        <v>34000</v>
      </c>
      <c r="M9" s="58">
        <f t="shared" si="3"/>
        <v>34000</v>
      </c>
      <c r="N9" s="8">
        <f t="shared" si="1"/>
        <v>321128.80927878781</v>
      </c>
    </row>
    <row r="10" spans="1:19" x14ac:dyDescent="0.2">
      <c r="A10" s="43" t="s">
        <v>37</v>
      </c>
      <c r="B10" s="80">
        <f>B9/12</f>
        <v>1694.7159481691922</v>
      </c>
      <c r="C10" s="80">
        <f t="shared" ref="C10:M10" si="4">C9/12</f>
        <v>1786.3316870580813</v>
      </c>
      <c r="D10" s="80">
        <f t="shared" si="4"/>
        <v>1786.3315453914154</v>
      </c>
      <c r="E10" s="80">
        <f t="shared" si="4"/>
        <v>2049.7749259469661</v>
      </c>
      <c r="F10" s="80">
        <f t="shared" si="4"/>
        <v>2138.4441666666667</v>
      </c>
      <c r="G10" s="80">
        <f t="shared" si="4"/>
        <v>2138.4441666666667</v>
      </c>
      <c r="H10" s="80">
        <f t="shared" si="4"/>
        <v>2129.1791666666668</v>
      </c>
      <c r="I10" s="80">
        <f t="shared" si="4"/>
        <v>2129.1791666666668</v>
      </c>
      <c r="J10" s="80">
        <f t="shared" si="4"/>
        <v>2408.3333333333335</v>
      </c>
      <c r="K10" s="80">
        <f t="shared" si="4"/>
        <v>2833.3333333333335</v>
      </c>
      <c r="L10" s="80">
        <f t="shared" si="4"/>
        <v>2833.3333333333335</v>
      </c>
      <c r="M10" s="80">
        <f t="shared" si="4"/>
        <v>2833.3333333333335</v>
      </c>
      <c r="N10" s="8">
        <f t="shared" si="1"/>
        <v>26760.734106565651</v>
      </c>
    </row>
    <row r="11" spans="1:19" x14ac:dyDescent="0.2">
      <c r="A11" s="9" t="s">
        <v>9</v>
      </c>
      <c r="B11" s="9">
        <f>SUM(B3:B6)-SUM(B9:B10)</f>
        <v>114364.61812203283</v>
      </c>
      <c r="C11" s="9">
        <f t="shared" ref="C11:M11" si="5">SUM(C3:C6)-SUM(C9:C10)</f>
        <v>127612.16296092175</v>
      </c>
      <c r="D11" s="9">
        <f t="shared" si="5"/>
        <v>113733.9039692551</v>
      </c>
      <c r="E11" s="9">
        <f t="shared" si="5"/>
        <v>130315.39029981037</v>
      </c>
      <c r="F11" s="9">
        <f t="shared" si="5"/>
        <v>138762.74916666668</v>
      </c>
      <c r="G11" s="9">
        <f t="shared" si="5"/>
        <v>143002.55952020202</v>
      </c>
      <c r="H11" s="9">
        <f t="shared" si="5"/>
        <v>135140.25416666668</v>
      </c>
      <c r="I11" s="9">
        <f t="shared" si="5"/>
        <v>135140.25416666668</v>
      </c>
      <c r="J11" s="9">
        <f t="shared" si="5"/>
        <v>152858.33333333331</v>
      </c>
      <c r="K11" s="9">
        <f t="shared" si="5"/>
        <v>179833.33333333331</v>
      </c>
      <c r="L11" s="9">
        <f t="shared" si="5"/>
        <v>179833.33333333331</v>
      </c>
      <c r="M11" s="9">
        <f t="shared" si="5"/>
        <v>190617.49999999997</v>
      </c>
      <c r="N11" s="10">
        <f t="shared" si="1"/>
        <v>1741214.3923722219</v>
      </c>
    </row>
    <row r="12" spans="1:19" x14ac:dyDescent="0.2">
      <c r="B12" s="9"/>
      <c r="C12" s="64"/>
      <c r="D12" s="64"/>
      <c r="H12" s="9"/>
    </row>
    <row r="13" spans="1:19" x14ac:dyDescent="0.2">
      <c r="A13" s="38" t="s">
        <v>33</v>
      </c>
      <c r="B13" s="4">
        <f>IF(COUNTIF(C$63:$M$63,"A")&gt;0,0,SUM($B64:B65)/IF(B$63="x",1,(COUNTA(B$2:$M$2))))</f>
        <v>2860.8724999999999</v>
      </c>
      <c r="C13" s="4">
        <f>IF(COUNTIF(D$63:$M$63,"A")&gt;0,0,(SUM($B64:C65)-SUM($B13:B13))/IF(C$63="x",1,COUNTA(C$2:$M$2)))</f>
        <v>13543.145227272727</v>
      </c>
      <c r="D13" s="4">
        <f>IF(COUNTIF(E$63:$M$63,"A")&gt;0,0,(SUM($B64:D65)-SUM($B13:C13))/IF(D$63="x",1,COUNTA(D$2:$M$2)))</f>
        <v>13543.145227272727</v>
      </c>
      <c r="E13" s="4">
        <f>IF(COUNTIF(F$63:$M$63,"A")&gt;0,0,(SUM($B64:E65)-SUM($B13:D13))/IF(E$63="x",1,COUNTA(E$2:$M$2)))</f>
        <v>13543.145227272726</v>
      </c>
      <c r="F13" s="4">
        <f>IF(COUNTIF(G$63:$M$63,"A")&gt;0,0,(SUM($B64:F65)-SUM($B13:E13))/IF(F$63="x",1,COUNTA(F$2:$M$2)))</f>
        <v>15168.145227272727</v>
      </c>
      <c r="G13" s="4">
        <f>IF(COUNTIF(H$63:$M$63,"A")&gt;0,0,(SUM($B64:G65)-SUM($B13:F13))/IF(G$63="x",1,COUNTA(G$2:$M$2)))</f>
        <v>15168.145227272729</v>
      </c>
      <c r="H13" s="4">
        <f>IF(COUNTIF(I$63:$M$63,"A")&gt;0,0,(SUM($B64:H65)-SUM($B13:G13))/IF(H$63="x",1,COUNTA(H$2:$M$2)))</f>
        <v>15168.145227272727</v>
      </c>
      <c r="I13" s="4">
        <f>IF(COUNTIF(J$63:$M$63,"A")&gt;0,0,(SUM($B64:I65)-SUM($B13:H13))/IF(I$63="x",1,COUNTA(I$2:$M$2)))</f>
        <v>15168.145227272727</v>
      </c>
      <c r="J13" s="4">
        <f>IF(COUNTIF(K$63:$M$63,"A")&gt;0,0,(SUM($B64:J65)-SUM($B13:I13))/IF(J$63="x",1,COUNTA(J$2:$M$2)))</f>
        <v>15168.145227272726</v>
      </c>
      <c r="K13" s="4">
        <f>IF(COUNTIF(L$63:$M$63,"A")&gt;0,0,(SUM($B64:K65)-SUM($B13:J13))/IF(K$63="x",1,COUNTA(K$2:$M$2)))</f>
        <v>15168.145227272724</v>
      </c>
      <c r="L13" s="4">
        <f>IF(COUNTIF(M$63:$M$63,"A")&gt;0,0,(SUM($B64:L65)-SUM($B13:K13))/IF(L$63="x",1,COUNTA(L$2:$M$2)))</f>
        <v>15168.145227272718</v>
      </c>
      <c r="M13" s="4">
        <f>IF(COUNTIF($M$63:N$63,"A")&gt;0,0,(SUM($B64:M65)-SUM($B13:L13))/IF(M$63="x",1,COUNTA(M$2:$M$2)))</f>
        <v>15168.145227272733</v>
      </c>
      <c r="N13" s="8">
        <f t="shared" si="1"/>
        <v>164835.47</v>
      </c>
    </row>
    <row r="14" spans="1:19" x14ac:dyDescent="0.2">
      <c r="A14" s="38" t="s">
        <v>34</v>
      </c>
      <c r="B14" s="4">
        <f>IF(COUNTIF(C$63:$M$63,"A")&gt;0,0,SUM($B66:B67)/IF(B$63="x",1,(COUNTA(B$2:$M$2))))</f>
        <v>486.3483250000001</v>
      </c>
      <c r="C14" s="4">
        <f>IF(COUNTIF(D$63:$M$63,"A")&gt;0,0,(SUM($B66:C67)-SUM($B14:B14))/IF(C$63="x",1,COUNTA(C$2:$M$2)))</f>
        <v>2302.3346886363638</v>
      </c>
      <c r="D14" s="4">
        <f>IF(COUNTIF(E$63:$M$63,"A")&gt;0,0,(SUM($B66:D67)-SUM($B14:C14))/IF(D$63="x",1,COUNTA(D$2:$M$2)))</f>
        <v>2302.3346886363638</v>
      </c>
      <c r="E14" s="4">
        <f>IF(COUNTIF(F$63:$M$63,"A")&gt;0,0,(SUM($B66:E67)-SUM($B14:D14))/IF(E$63="x",1,COUNTA(E$2:$M$2)))</f>
        <v>2302.3346886363634</v>
      </c>
      <c r="F14" s="4">
        <f>IF(COUNTIF(G$63:$M$63,"A")&gt;0,0,(SUM($B66:F67)-SUM($B14:E14))/IF(F$63="x",1,COUNTA(F$2:$M$2)))</f>
        <v>2578.5846886363638</v>
      </c>
      <c r="G14" s="4">
        <f>IF(COUNTIF(H$63:$M$63,"A")&gt;0,0,(SUM($B66:G67)-SUM($B14:F14))/IF(G$63="x",1,COUNTA(G$2:$M$2)))</f>
        <v>2578.5846886363643</v>
      </c>
      <c r="H14" s="4">
        <f>IF(COUNTIF(I$63:$M$63,"A")&gt;0,0,(SUM($B66:H67)-SUM($B14:G14))/IF(H$63="x",1,COUNTA(H$2:$M$2)))</f>
        <v>2578.5846886363638</v>
      </c>
      <c r="I14" s="4">
        <f>IF(COUNTIF(J$63:$M$63,"A")&gt;0,0,(SUM($B66:I67)-SUM($B14:H14))/IF(I$63="x",1,COUNTA(I$2:$M$2)))</f>
        <v>2578.5846886363643</v>
      </c>
      <c r="J14" s="4">
        <f>IF(COUNTIF(K$63:$M$63,"A")&gt;0,0,(SUM($B66:J67)-SUM($B14:I14))/IF(J$63="x",1,COUNTA(J$2:$M$2)))</f>
        <v>2578.5846886363643</v>
      </c>
      <c r="K14" s="4">
        <f>IF(COUNTIF(L$63:$M$63,"A")&gt;0,0,(SUM($B66:K67)-SUM($B14:J14))/IF(K$63="x",1,COUNTA(K$2:$M$2)))</f>
        <v>2578.5846886363638</v>
      </c>
      <c r="L14" s="4">
        <f>IF(COUNTIF(M$63:$M$63,"A")&gt;0,0,(SUM($B66:L67)-SUM($B14:K14))/IF(L$63="x",1,COUNTA(L$2:$M$2)))</f>
        <v>2578.5846886363634</v>
      </c>
      <c r="M14" s="4">
        <f>IF(COUNTIF($M$63:N$63,"A")&gt;0,0,(SUM($B66:M67)-SUM($B14:L14))/IF(M$63="x",1,COUNTA(M$2:$M$2)))</f>
        <v>2578.5846886363652</v>
      </c>
      <c r="N14" s="8">
        <f t="shared" si="1"/>
        <v>28022.029900000001</v>
      </c>
    </row>
    <row r="15" spans="1:19" x14ac:dyDescent="0.2">
      <c r="B15" s="9"/>
      <c r="D15" s="64"/>
      <c r="G15" s="64"/>
      <c r="H15" s="9"/>
      <c r="J15" s="5"/>
      <c r="K15" s="5"/>
      <c r="L15" s="5"/>
      <c r="M15" s="5"/>
    </row>
    <row r="16" spans="1:19" x14ac:dyDescent="0.2">
      <c r="A16" s="9" t="s">
        <v>10</v>
      </c>
      <c r="B16" s="9">
        <f>B13-B14</f>
        <v>2374.524175</v>
      </c>
      <c r="C16" s="9">
        <f t="shared" ref="C16:M16" si="6">C13-C14</f>
        <v>11240.810538636364</v>
      </c>
      <c r="D16" s="9">
        <f t="shared" si="6"/>
        <v>11240.810538636364</v>
      </c>
      <c r="E16" s="9">
        <f t="shared" si="6"/>
        <v>11240.810538636362</v>
      </c>
      <c r="F16" s="9">
        <f t="shared" si="6"/>
        <v>12589.560538636364</v>
      </c>
      <c r="G16" s="9">
        <f t="shared" si="6"/>
        <v>12589.560538636364</v>
      </c>
      <c r="H16" s="9">
        <f t="shared" si="6"/>
        <v>12589.560538636364</v>
      </c>
      <c r="I16" s="9">
        <f t="shared" si="6"/>
        <v>12589.560538636364</v>
      </c>
      <c r="J16" s="9">
        <f t="shared" si="6"/>
        <v>12589.56053863636</v>
      </c>
      <c r="K16" s="9">
        <f t="shared" si="6"/>
        <v>12589.56053863636</v>
      </c>
      <c r="L16" s="9">
        <f t="shared" si="6"/>
        <v>12589.560538636355</v>
      </c>
      <c r="M16" s="9">
        <f t="shared" si="6"/>
        <v>12589.560538636368</v>
      </c>
      <c r="N16" s="10">
        <f t="shared" si="1"/>
        <v>136813.44009999998</v>
      </c>
    </row>
    <row r="17" spans="1:19" x14ac:dyDescent="0.2">
      <c r="E17" s="3"/>
      <c r="H17" s="5"/>
    </row>
    <row r="18" spans="1:19" x14ac:dyDescent="0.2">
      <c r="A18" s="4" t="s">
        <v>11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8">
        <f t="shared" si="1"/>
        <v>0</v>
      </c>
      <c r="P18" s="74"/>
      <c r="Q18" s="74"/>
    </row>
    <row r="19" spans="1:19" x14ac:dyDescent="0.2">
      <c r="A19" s="4" t="s">
        <v>23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8">
        <f t="shared" si="1"/>
        <v>0</v>
      </c>
      <c r="P19" s="74"/>
      <c r="Q19" s="74"/>
    </row>
    <row r="20" spans="1:19" x14ac:dyDescent="0.2">
      <c r="A20" s="4" t="s">
        <v>24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8">
        <f t="shared" si="1"/>
        <v>0</v>
      </c>
      <c r="P20" s="74"/>
      <c r="Q20" s="74"/>
    </row>
    <row r="21" spans="1:19" x14ac:dyDescent="0.2">
      <c r="A21" s="95" t="s">
        <v>65</v>
      </c>
      <c r="B21" s="58">
        <v>20000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8">
        <f t="shared" si="1"/>
        <v>20000</v>
      </c>
      <c r="P21" s="74"/>
      <c r="Q21" s="74"/>
    </row>
    <row r="22" spans="1:19" x14ac:dyDescent="0.2">
      <c r="A22" s="4" t="s">
        <v>29</v>
      </c>
      <c r="B22" s="58">
        <v>14000</v>
      </c>
      <c r="C22" s="58">
        <v>0</v>
      </c>
      <c r="D22" s="58">
        <v>28000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f t="shared" si="1"/>
        <v>42000</v>
      </c>
      <c r="P22" s="74"/>
      <c r="Q22" s="74"/>
    </row>
    <row r="23" spans="1:19" x14ac:dyDescent="0.2">
      <c r="A23" s="94" t="s">
        <v>57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8">
        <f t="shared" si="1"/>
        <v>0</v>
      </c>
      <c r="P23" s="74"/>
      <c r="Q23" s="74"/>
    </row>
    <row r="24" spans="1:19" x14ac:dyDescent="0.2">
      <c r="A24" s="95" t="s">
        <v>66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8">
        <f t="shared" si="1"/>
        <v>0</v>
      </c>
      <c r="P24" s="74"/>
      <c r="Q24" s="74"/>
    </row>
    <row r="25" spans="1:19" x14ac:dyDescent="0.2">
      <c r="A25" s="95" t="s">
        <v>59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8">
        <f t="shared" si="1"/>
        <v>0</v>
      </c>
      <c r="P25" s="74"/>
      <c r="Q25" s="74"/>
    </row>
    <row r="26" spans="1:19" x14ac:dyDescent="0.2">
      <c r="A26" s="84" t="s">
        <v>55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8">
        <f t="shared" si="1"/>
        <v>0</v>
      </c>
      <c r="P26" s="74"/>
      <c r="Q26" s="74"/>
    </row>
    <row r="27" spans="1:19" x14ac:dyDescent="0.2">
      <c r="A27" s="95" t="s">
        <v>67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8">
        <f t="shared" si="1"/>
        <v>0</v>
      </c>
      <c r="P27" s="74"/>
      <c r="Q27" s="74"/>
    </row>
    <row r="28" spans="1:19" s="19" customFormat="1" x14ac:dyDescent="0.2">
      <c r="A28" s="18"/>
      <c r="B28" s="18"/>
      <c r="G28" s="66"/>
      <c r="H28" s="20"/>
      <c r="J28" s="21"/>
      <c r="K28" s="21"/>
      <c r="L28" s="21"/>
      <c r="M28" s="21"/>
      <c r="P28" s="74"/>
      <c r="Q28" s="74"/>
    </row>
    <row r="29" spans="1:19" s="89" customFormat="1" x14ac:dyDescent="0.2">
      <c r="A29" s="87" t="s">
        <v>68</v>
      </c>
      <c r="B29" s="117"/>
      <c r="C29" s="117"/>
      <c r="D29" s="117"/>
      <c r="E29" s="117"/>
      <c r="F29" s="117"/>
      <c r="G29" s="121">
        <f>IF(G77&lt;150000, MAX(0,G11+G16-SUM(G18:G27,G32:G33)),0)+G80+G7</f>
        <v>50164.1020130049</v>
      </c>
      <c r="H29" s="118">
        <f>IF(H77&lt;150000, MAX(0,H11+H16-SUM(H18:H27,H32:H37)),0)</f>
        <v>0</v>
      </c>
      <c r="I29" s="118">
        <f>IF(I77&lt;150000, MAX(0,I11+I16-SUM(I18:I27,I32:I37)),0)</f>
        <v>0</v>
      </c>
      <c r="J29" s="118">
        <f>IF(J77&lt;175000, MAX(0,J11+J16-SUM(J18:J27,J32:J37)),0)</f>
        <v>71264.487205303012</v>
      </c>
      <c r="K29" s="118">
        <f>IF(K77&lt;175000, MAX(0,K11+K16-SUM(K18:K27,K32:K37)),0)</f>
        <v>0</v>
      </c>
      <c r="L29" s="118">
        <f>IF(L77&lt;175000, MAX(0,L11+L16-SUM(L18:L27,L32:L37)),0)</f>
        <v>0</v>
      </c>
      <c r="M29" s="118">
        <f>IF(M77&lt;175000, MAX(0,M11+M16-SUM(M18:M27,M32:M37)),0)+M7</f>
        <v>0</v>
      </c>
      <c r="N29" s="88">
        <f t="shared" si="1"/>
        <v>121428.58921830791</v>
      </c>
      <c r="P29" s="90"/>
      <c r="Q29" s="90"/>
    </row>
    <row r="30" spans="1:19" s="89" customFormat="1" x14ac:dyDescent="0.2">
      <c r="A30" s="87" t="s">
        <v>69</v>
      </c>
      <c r="B30" s="117"/>
      <c r="C30" s="117"/>
      <c r="D30" s="117"/>
      <c r="E30" s="117"/>
      <c r="F30" s="117"/>
      <c r="G30" s="121">
        <f>VLOOKUP(G77,Tablas!$G:$H,2)+G81</f>
        <v>70131</v>
      </c>
      <c r="H30" s="118">
        <f>VLOOKUP(H77,Tablas!$G:$H,2)</f>
        <v>42270</v>
      </c>
      <c r="I30" s="118">
        <f>VLOOKUP(I77,Tablas!$G:$H,2)</f>
        <v>42270</v>
      </c>
      <c r="J30" s="118">
        <f>VLOOKUP(J77,Tablas!$J:$K,2)</f>
        <v>0</v>
      </c>
      <c r="K30" s="118">
        <f>VLOOKUP(K77,Tablas!$J:$K,2)</f>
        <v>36662</v>
      </c>
      <c r="L30" s="118">
        <f>VLOOKUP(L77,Tablas!$J:$K,2)</f>
        <v>25748</v>
      </c>
      <c r="M30" s="118">
        <f>VLOOKUP(M77,Tablas!$J:$K,2)</f>
        <v>20533</v>
      </c>
      <c r="N30" s="88">
        <f t="shared" si="1"/>
        <v>237614</v>
      </c>
      <c r="P30" s="90"/>
      <c r="Q30" s="90"/>
    </row>
    <row r="31" spans="1:19" s="89" customForma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P31" s="90"/>
      <c r="Q31" s="90"/>
    </row>
    <row r="32" spans="1:19" ht="12.75" x14ac:dyDescent="0.25">
      <c r="A32" s="4" t="s">
        <v>13</v>
      </c>
      <c r="B32" s="4">
        <f>O32</f>
        <v>67071.359999999986</v>
      </c>
      <c r="C32" s="4">
        <f>IF(COUNTIF($B$63:B$63,"x")&gt;0,0,IF(C$63="A",$O32*COUNTA($A32:B32),IF(COUNTIF(D$63:$M$63,"A")&gt;0,0,$O32*IF(C$63="x",12,COUNTA($A32:B32))-SUM($B32:B32))))</f>
        <v>67071.359999999986</v>
      </c>
      <c r="D32" s="4">
        <f>IF(COUNTIF($B$63:C$63,"x")&gt;0,0,IF(D$63="A",$O32*COUNTA($A32:C32),IF(COUNTIF(E$63:$M$63,"A")&gt;0,0,$O32*IF(D$63="x",12,COUNTA($A32:C32))-SUM($B32:C32))))</f>
        <v>67071.359999999986</v>
      </c>
      <c r="E32" s="4">
        <f>IF(COUNTIF($B$63:D$63,"x")&gt;0,0,IF(E$63="A",$O32*COUNTA($A32:D32),IF(COUNTIF(F$63:$M$63,"A")&gt;0,0,$O32*IF(E$63="x",12,COUNTA($A32:D32))-SUM($B32:D32))))</f>
        <v>67071.359999999986</v>
      </c>
      <c r="F32" s="4">
        <f>IF(COUNTIF($B$63:E$63,"x")&gt;0,0,IF(F$63="A",$O32*COUNTA($A32:E32),IF(COUNTIF(G$63:$M$63,"A")&gt;0,0,$O32*IF(F$63="x",12,COUNTA($A32:E32))-SUM($B32:E32))))</f>
        <v>67071.359999999986</v>
      </c>
      <c r="G32" s="4">
        <f>IF(COUNTIF($B$63:F$63,"x")&gt;0,0,IF(G$63="A",$O32*COUNTA($A32:F32),IF(COUNTIF(H$63:$M$63,"A")&gt;0,0,$O32*IF(G$63="x",12,COUNTA($A32:F32))-SUM($B32:F32))))</f>
        <v>67071.359999999986</v>
      </c>
      <c r="H32" s="4">
        <f>IF(COUNTIF($B$63:G$63,"x")&gt;0,0,IF(H$63="A",$O32*COUNTA($A32:G32),IF(COUNTIF(I$63:$M$63,"A")&gt;0,0,$O32*IF(H$63="x",12,COUNTA($A32:G32))-SUM($B32:G32))))</f>
        <v>67071.359999999986</v>
      </c>
      <c r="I32" s="4">
        <f>IF(COUNTIF($B$63:H$63,"x")&gt;0,0,IF(I$63="A",$O32*COUNTA($A32:H32),IF(COUNTIF(J$63:$M$63,"A")&gt;0,0,$O32*IF(I$63="x",12,COUNTA($A32:H32))-SUM($B32:H32))))</f>
        <v>67071.359999999986</v>
      </c>
      <c r="J32" s="4">
        <f>IF(COUNTIF($B$63:I$63,"x")&gt;0,0,IF(J$63="A",$O32*COUNTA($A32:I32),IF(COUNTIF(K$63:$M$63,"A")&gt;0,0,$O32*IF(J$63="x",12,COUNTA($A32:I32))-SUM($B32:I32))))</f>
        <v>67071.359999999986</v>
      </c>
      <c r="K32" s="4">
        <f>IF(COUNTIF($B$63:J$63,"x")&gt;0,0,IF(K$63="A",$O32*COUNTA($A32:J32),IF(COUNTIF(L$63:$M$63,"A")&gt;0,0,$O32*IF(K$63="x",12,COUNTA($A32:J32))-SUM($B32:J32))))</f>
        <v>67071.359999999986</v>
      </c>
      <c r="L32" s="4">
        <f>IF(COUNTIF($B$63:K$63,"x")&gt;0,0,IF(L$63="A",$O32*COUNTA($A32:K32),IF(COUNTIF(M$63:$M$63,"A")&gt;0,0,$O32*IF(L$63="x",12,COUNTA($A32:K32))-SUM($B32:K32))))</f>
        <v>67071.359999999986</v>
      </c>
      <c r="M32" s="4">
        <f>IF(COUNTIF($B$63:L$63,"x")&gt;0,0,IF(M$63="A",$O32*COUNTA($A32:L32),IF(COUNTIF($M$63:N$63,"A")&gt;0,0,$O32*IF(M$63="x",12,COUNTA($A32:L32))-SUM($B32:L32))))</f>
        <v>67071.359999999986</v>
      </c>
      <c r="N32" s="8">
        <f t="shared" si="1"/>
        <v>804856.31999999983</v>
      </c>
      <c r="O32" s="32">
        <f>O33*4.8</f>
        <v>67071.359999999986</v>
      </c>
      <c r="P32" s="32">
        <f>P33*4.8+0.02</f>
        <v>804856.34</v>
      </c>
      <c r="Q32" s="74"/>
      <c r="R32" s="75"/>
      <c r="S32" s="3"/>
    </row>
    <row r="33" spans="1:19" ht="12.75" x14ac:dyDescent="0.25">
      <c r="A33" s="4" t="s">
        <v>12</v>
      </c>
      <c r="B33" s="4">
        <f>O33</f>
        <v>13973.199999999999</v>
      </c>
      <c r="C33" s="4">
        <f t="shared" ref="C33:M33" si="7">C32/4.8</f>
        <v>13973.199999999997</v>
      </c>
      <c r="D33" s="4">
        <f t="shared" si="7"/>
        <v>13973.199999999997</v>
      </c>
      <c r="E33" s="4">
        <f t="shared" si="7"/>
        <v>13973.199999999997</v>
      </c>
      <c r="F33" s="4">
        <f t="shared" si="7"/>
        <v>13973.199999999997</v>
      </c>
      <c r="G33" s="4">
        <f t="shared" si="7"/>
        <v>13973.199999999997</v>
      </c>
      <c r="H33" s="4">
        <f t="shared" si="7"/>
        <v>13973.199999999997</v>
      </c>
      <c r="I33" s="4">
        <f t="shared" si="7"/>
        <v>13973.199999999997</v>
      </c>
      <c r="J33" s="4">
        <f t="shared" si="7"/>
        <v>13973.199999999997</v>
      </c>
      <c r="K33" s="4">
        <f t="shared" si="7"/>
        <v>13973.199999999997</v>
      </c>
      <c r="L33" s="4">
        <f t="shared" si="7"/>
        <v>13973.199999999997</v>
      </c>
      <c r="M33" s="4">
        <f t="shared" si="7"/>
        <v>13973.199999999997</v>
      </c>
      <c r="N33" s="8">
        <f t="shared" si="1"/>
        <v>167678.39999999997</v>
      </c>
      <c r="O33" s="32">
        <f>P33/12</f>
        <v>13973.199999999999</v>
      </c>
      <c r="P33" s="32">
        <v>167678.39999999999</v>
      </c>
      <c r="Q33" s="74"/>
      <c r="R33" s="74"/>
      <c r="S33" s="3"/>
    </row>
    <row r="34" spans="1:19" ht="12.75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"/>
      <c r="O34" s="32"/>
      <c r="P34" s="85"/>
      <c r="Q34" s="74"/>
      <c r="R34" s="74"/>
    </row>
    <row r="35" spans="1:19" ht="12.75" x14ac:dyDescent="0.25">
      <c r="A35" s="4" t="s">
        <v>20</v>
      </c>
      <c r="B35" s="4">
        <f>IF(B$63="A",$O35*B69,IF(COUNTIF(C$63:$M$63,"A")&gt;0,0,$O35*IF(B$63="x",12,1)*B69))</f>
        <v>0</v>
      </c>
      <c r="C35" s="4">
        <f>IF(COUNTIF($B$63:B$63,"x")&gt;0,0,IF(C$63="A",$O35*COUNTA($A35:B35)*C69,IF(COUNTIF(D$63:$M$63,"A")&gt;0,0,$O35*IF(C$63="x",12,COUNTA($A35:B35))*C69-SUM($B35:B35))))</f>
        <v>0</v>
      </c>
      <c r="D35" s="4">
        <f>IF(COUNTIF($B$63:C$63,"x")&gt;0,0,IF(D$63="A",$O35*COUNTA($A35:C35)*D69,IF(COUNTIF(E$63:$M$63,"A")&gt;0,0,$O35*IF(D$63="x",12,COUNTA($A35:C35))*D69-SUM($B35:C35))))</f>
        <v>0</v>
      </c>
      <c r="E35" s="4">
        <f>IF(COUNTIF($B$63:D$63,"x")&gt;0,0,IF(E$63="A",$O35*COUNTA($A35:D35)*E69,IF(COUNTIF(F$63:$M$63,"A")&gt;0,0,$O35*IF(E$63="x",12,COUNTA($A35:D35))*E69-SUM($B35:D35))))</f>
        <v>0</v>
      </c>
      <c r="F35" s="4">
        <f>IF(COUNTIF($B$63:E$63,"x")&gt;0,0,IF(F$63="A",$O35*COUNTA($A35:E35)*F69,IF(COUNTIF(G$63:$M$63,"A")&gt;0,0,$O35*IF(F$63="x",12,COUNTA($A35:E35))*F69-SUM($B35:E35))))</f>
        <v>0</v>
      </c>
      <c r="G35" s="4">
        <f>IF(COUNTIF($B$63:F$63,"x")&gt;0,0,IF(G$63="A",$O35*COUNTA($A35:F35)*G69,IF(COUNTIF(H$63:$M$63,"A")&gt;0,0,$O35*IF(G$63="x",12,COUNTA($A35:F35))*G69-SUM($B35:F35))))</f>
        <v>0</v>
      </c>
      <c r="H35" s="4">
        <f>IF(COUNTIF($B$63:G$63,"x")&gt;0,0,IF(H$63="A",$O35*COUNTA($A35:G35)*H69,IF(COUNTIF(I$63:$M$63,"A")&gt;0,0,$O35*IF(H$63="x",12,COUNTA($A35:G35))*H69-SUM($B35:G35))))</f>
        <v>0</v>
      </c>
      <c r="I35" s="4">
        <f>IF(COUNTIF($B$63:H$63,"x")&gt;0,0,IF(I$63="A",$O35*COUNTA($A35:H35)*I69,IF(COUNTIF(J$63:$M$63,"A")&gt;0,0,$O35*IF(I$63="x",12,COUNTA($A35:H35))*I69-SUM($B35:H35))))</f>
        <v>0</v>
      </c>
      <c r="J35" s="4">
        <f>IF(COUNTIF($B$63:I$63,"x")&gt;0,0,IF(J$63="A",$O35*COUNTA($A35:I35)*J69,IF(COUNTIF(K$63:$M$63,"A")&gt;0,0,$O35*IF(J$63="x",12,COUNTA($A35:I35))*J69-SUM($B35:I35))))</f>
        <v>0</v>
      </c>
      <c r="K35" s="4">
        <f>IF(COUNTIF($B$63:J$63,"x")&gt;0,0,IF(K$63="A",$O35*COUNTA($A35:J35)*K69,IF(COUNTIF(L$63:$M$63,"A")&gt;0,0,$O35*IF(K$63="x",12,COUNTA($A35:J35))*K69-SUM($B35:J35))))</f>
        <v>0</v>
      </c>
      <c r="L35" s="4">
        <f>IF(COUNTIF($B$63:K$63,"x")&gt;0,0,IF(L$63="A",$O35*COUNTA($A35:K35)*L69,IF(COUNTIF(M$63:$M$63,"A")&gt;0,0,$O35*IF(L$63="x",12,COUNTA($A35:K35))*L69-SUM($B35:K35))))</f>
        <v>0</v>
      </c>
      <c r="M35" s="4">
        <f>IF(COUNTIF($B$63:L$63,"x")&gt;0,0,IF(M$63="A",$O35*COUNTA($A35:L35)*M69,IF(COUNTIF($M$63:N$63,"A")&gt;0,0,$O35*IF(M$63="x",12,COUNTA($A35:L35))*M69-SUM($B35:L35))))</f>
        <v>0</v>
      </c>
      <c r="N35" s="8">
        <f t="shared" si="1"/>
        <v>0</v>
      </c>
      <c r="O35" s="32">
        <f>P35/12</f>
        <v>13026.719166666668</v>
      </c>
      <c r="P35" s="32">
        <v>156320.63</v>
      </c>
    </row>
    <row r="36" spans="1:19" ht="12.75" x14ac:dyDescent="0.25">
      <c r="A36" s="4" t="s">
        <v>21</v>
      </c>
      <c r="B36" s="4">
        <f>IF(B$63="A",$O36*B70,IF(COUNTIF(C$63:$M$63,"A")&gt;0,0,$O36*IF(B$63="x",12,1)*B70))</f>
        <v>13138.846666666666</v>
      </c>
      <c r="C36" s="4">
        <f>IF(COUNTIF($B$63:B$63,"x")&gt;0,0,IF(C$63="A",$O36*COUNTA($A36:B36)*C70,IF(COUNTIF(D$63:$M$63,"A")&gt;0,0,$O36*IF(C$63="x",12,COUNTA($A36:B36))*C70-SUM($B36:B36))))</f>
        <v>13138.846666666666</v>
      </c>
      <c r="D36" s="4">
        <f>IF(COUNTIF($B$63:C$63,"x")&gt;0,0,IF(D$63="A",$O36*COUNTA($A36:C36)*D70,IF(COUNTIF(E$63:$M$63,"A")&gt;0,0,$O36*IF(D$63="x",12,COUNTA($A36:C36))*D70-SUM($B36:C36))))</f>
        <v>13138.846666666668</v>
      </c>
      <c r="E36" s="4">
        <f>IF(COUNTIF($B$63:D$63,"x")&gt;0,0,IF(E$63="A",$O36*COUNTA($A36:D36)*E70,IF(COUNTIF(F$63:$M$63,"A")&gt;0,0,$O36*IF(E$63="x",12,COUNTA($A36:D36))*E70-SUM($B36:D36))))</f>
        <v>13138.846666666665</v>
      </c>
      <c r="F36" s="4">
        <f>IF(COUNTIF($B$63:E$63,"x")&gt;0,0,IF(F$63="A",$O36*COUNTA($A36:E36)*F70,IF(COUNTIF(G$63:$M$63,"A")&gt;0,0,$O36*IF(F$63="x",12,COUNTA($A36:E36))*F70-SUM($B36:E36))))</f>
        <v>13138.846666666672</v>
      </c>
      <c r="G36" s="4">
        <f>IF(COUNTIF($B$63:F$63,"x")&gt;0,0,IF(G$63="A",$O36*COUNTA($A36:F36)*G70,IF(COUNTIF(H$63:$M$63,"A")&gt;0,0,$O36*IF(G$63="x",12,COUNTA($A36:F36))*G70-SUM($B36:F36))))</f>
        <v>13138.846666666665</v>
      </c>
      <c r="H36" s="4">
        <f>IF(COUNTIF($B$63:G$63,"x")&gt;0,0,IF(H$63="A",$O36*COUNTA($A36:G36)*H70,IF(COUNTIF(I$63:$M$63,"A")&gt;0,0,$O36*IF(H$63="x",12,COUNTA($A36:G36))*H70-SUM($B36:G36))))</f>
        <v>13138.846666666665</v>
      </c>
      <c r="I36" s="4">
        <f>IF(COUNTIF($B$63:H$63,"x")&gt;0,0,IF(I$63="A",$O36*COUNTA($A36:H36)*I70,IF(COUNTIF(J$63:$M$63,"A")&gt;0,0,$O36*IF(I$63="x",12,COUNTA($A36:H36))*I70-SUM($B36:H36))))</f>
        <v>13138.846666666665</v>
      </c>
      <c r="J36" s="4">
        <f>IF(COUNTIF($B$63:I$63,"x")&gt;0,0,IF(J$63="A",$O36*COUNTA($A36:I36)*J70,IF(COUNTIF(K$63:$M$63,"A")&gt;0,0,$O36*IF(J$63="x",12,COUNTA($A36:I36))*J70-SUM($B36:I36))))</f>
        <v>13138.846666666665</v>
      </c>
      <c r="K36" s="4">
        <f>IF(COUNTIF($B$63:J$63,"x")&gt;0,0,IF(K$63="A",$O36*COUNTA($A36:J36)*K70,IF(COUNTIF(L$63:$M$63,"A")&gt;0,0,$O36*IF(K$63="x",12,COUNTA($A36:J36))*K70-SUM($B36:J36))))</f>
        <v>13138.846666666679</v>
      </c>
      <c r="L36" s="4">
        <f>IF(COUNTIF($B$63:K$63,"x")&gt;0,0,IF(L$63="A",$O36*COUNTA($A36:K36)*L70,IF(COUNTIF(M$63:$M$63,"A")&gt;0,0,$O36*IF(L$63="x",12,COUNTA($A36:K36))*L70-SUM($B36:K36))))</f>
        <v>13138.84666666665</v>
      </c>
      <c r="M36" s="4">
        <f>IF(COUNTIF($B$63:L$63,"x")&gt;0,0,IF(M$63="A",$O36*COUNTA($A36:L36)*M70,IF(COUNTIF($M$63:N$63,"A")&gt;0,0,$O36*IF(M$63="x",12,COUNTA($A36:L36))*M70-SUM($B36:L36))))</f>
        <v>13138.846666666679</v>
      </c>
      <c r="N36" s="8">
        <f t="shared" ref="N36" si="8">SUM(B36:M36)</f>
        <v>157666.16</v>
      </c>
      <c r="O36" s="32">
        <f>P36/12</f>
        <v>6569.4233333333332</v>
      </c>
      <c r="P36" s="78">
        <v>78833.08</v>
      </c>
    </row>
    <row r="37" spans="1:19" ht="12.75" x14ac:dyDescent="0.25">
      <c r="A37" s="122" t="s">
        <v>88</v>
      </c>
      <c r="B37" s="4">
        <f>IF(B$63="A",$O37*B71,IF(COUNTIF(C$63:$M$63,"A")&gt;0,0,$O37*IF(B$63="x",12,1)*B71))</f>
        <v>0</v>
      </c>
      <c r="C37" s="4">
        <f>IF(COUNTIF($B$63:B$63,"x")&gt;0,0,IF(C$63="A",$O37*COUNTA($A37:B37)*C71,IF(COUNTIF(D$63:$M$63,"A")&gt;0,0,$O37*IF(C$63="x",12,COUNTA($A37:B37))*C71-SUM($B37:B37))))</f>
        <v>0</v>
      </c>
      <c r="D37" s="4">
        <f>IF(COUNTIF($B$63:C$63,"x")&gt;0,0,IF(D$63="A",$O37*COUNTA($A37:C37)*D71,IF(COUNTIF(E$63:$M$63,"A")&gt;0,0,$O37*IF(D$63="x",12,COUNTA($A37:C37))*D71-SUM($B37:C37))))</f>
        <v>0</v>
      </c>
      <c r="E37" s="4">
        <f>IF(COUNTIF($B$63:D$63,"x")&gt;0,0,IF(E$63="A",$O37*COUNTA($A37:D37)*E71,IF(COUNTIF(F$63:$M$63,"A")&gt;0,0,$O37*IF(E$63="x",12,COUNTA($A37:D37))*E71-SUM($B37:D37))))</f>
        <v>0</v>
      </c>
      <c r="F37" s="4">
        <f>IF(COUNTIF($B$63:E$63,"x")&gt;0,0,IF(F$63="A",$O37*COUNTA($A37:E37)*F71,IF(COUNTIF(G$63:$M$63,"A")&gt;0,0,$O37*IF(F$63="x",12,COUNTA($A37:E37))*F71-SUM($B37:E37))))</f>
        <v>0</v>
      </c>
      <c r="G37" s="4">
        <f>IF(COUNTIF($B$63:F$63,"x")&gt;0,0,IF(G$63="A",$O37*COUNTA($A37:F37)*G71,IF(COUNTIF(H$63:$M$63,"A")&gt;0,0,$O37*IF(G$63="x",12,COUNTA($A37:F37))*G71-SUM($B37:F37))))</f>
        <v>0</v>
      </c>
      <c r="H37" s="4">
        <f>IF(COUNTIF($B$63:G$63,"x")&gt;0,0,IF(H$63="A",$O37*COUNTA($A37:G37)*H71,IF(COUNTIF(I$63:$M$63,"A")&gt;0,0,$O37*IF(H$63="x",12,COUNTA($A37:G37))*H71-SUM($B37:G37))))</f>
        <v>0</v>
      </c>
      <c r="I37" s="4">
        <f>IF(COUNTIF($B$63:H$63,"x")&gt;0,0,IF(I$63="A",$O37*COUNTA($A37:H37)*I71,IF(COUNTIF(J$63:$M$63,"A")&gt;0,0,$O37*IF(I$63="x",12,COUNTA($A37:H37))*I71-SUM($B37:H37))))</f>
        <v>0</v>
      </c>
      <c r="J37" s="4">
        <f>IF(COUNTIF($B$63:I$63,"x")&gt;0,0,IF(J$63="A",$O37*COUNTA($A37:I37)*J71,IF(COUNTIF(K$63:$M$63,"A")&gt;0,0,$O37*IF(J$63="x",12,COUNTA($A37:I37))*J71-SUM($B37:I37))))</f>
        <v>0</v>
      </c>
      <c r="K37" s="4">
        <f>IF(COUNTIF($B$63:J$63,"x")&gt;0,0,IF(K$63="A",$O37*COUNTA($A37:J37)*K71,IF(COUNTIF(L$63:$M$63,"A")&gt;0,0,$O37*IF(K$63="x",12,COUNTA($A37:J37))*K71-SUM($B37:J37))))</f>
        <v>0</v>
      </c>
      <c r="L37" s="4">
        <f>IF(COUNTIF($B$63:K$63,"x")&gt;0,0,IF(L$63="A",$O37*COUNTA($A37:K37)*L71,IF(COUNTIF(M$63:$M$63,"A")&gt;0,0,$O37*IF(L$63="x",12,COUNTA($A37:K37))*L71-SUM($B37:K37))))</f>
        <v>0</v>
      </c>
      <c r="M37" s="4">
        <f>IF(COUNTIF($B$63:L$63,"x")&gt;0,0,IF(M$63="A",$O37*COUNTA($A37:L37)*M71,IF(COUNTIF($M$63:N$63,"A")&gt;0,0,$O37*IF(M$63="x",12,COUNTA($A37:L37))*M71-SUM($B37:L37))))</f>
        <v>0</v>
      </c>
      <c r="N37" s="8">
        <f t="shared" si="1"/>
        <v>0</v>
      </c>
      <c r="O37" s="32">
        <f>O36*2</f>
        <v>13138.846666666666</v>
      </c>
      <c r="P37" s="32">
        <f>P36*2</f>
        <v>157666.16</v>
      </c>
    </row>
    <row r="38" spans="1:19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>
        <f t="shared" si="1"/>
        <v>0</v>
      </c>
    </row>
    <row r="39" spans="1:19" x14ac:dyDescent="0.2">
      <c r="A39" s="9" t="s">
        <v>85</v>
      </c>
      <c r="B39" s="9">
        <f t="shared" ref="B39:M39" si="9">SUM(B18:B38)</f>
        <v>128183.40666666665</v>
      </c>
      <c r="C39" s="9">
        <f t="shared" si="9"/>
        <v>94183.406666666648</v>
      </c>
      <c r="D39" s="9">
        <f t="shared" si="9"/>
        <v>122183.40666666665</v>
      </c>
      <c r="E39" s="9">
        <f t="shared" si="9"/>
        <v>94183.406666666648</v>
      </c>
      <c r="F39" s="9">
        <f t="shared" si="9"/>
        <v>94183.406666666648</v>
      </c>
      <c r="G39" s="9">
        <f t="shared" si="9"/>
        <v>214478.50867967156</v>
      </c>
      <c r="H39" s="9">
        <f t="shared" si="9"/>
        <v>136453.40666666665</v>
      </c>
      <c r="I39" s="9">
        <f t="shared" si="9"/>
        <v>136453.40666666665</v>
      </c>
      <c r="J39" s="9">
        <f t="shared" si="9"/>
        <v>165447.89387196966</v>
      </c>
      <c r="K39" s="9">
        <f t="shared" si="9"/>
        <v>130845.40666666666</v>
      </c>
      <c r="L39" s="9">
        <f t="shared" si="9"/>
        <v>119931.40666666663</v>
      </c>
      <c r="M39" s="9">
        <f t="shared" si="9"/>
        <v>114716.40666666666</v>
      </c>
      <c r="N39" s="10">
        <f t="shared" si="1"/>
        <v>1551243.4692183079</v>
      </c>
    </row>
    <row r="40" spans="1:19" x14ac:dyDescent="0.2">
      <c r="B40" s="4"/>
    </row>
    <row r="41" spans="1:19" x14ac:dyDescent="0.2">
      <c r="A41" s="63" t="s">
        <v>63</v>
      </c>
      <c r="B41" s="123"/>
      <c r="C41" s="74">
        <f t="shared" ref="C41:M41" si="10">C11+C16-C39</f>
        <v>44669.566832891462</v>
      </c>
      <c r="D41" s="74">
        <f t="shared" si="10"/>
        <v>2791.3078412248142</v>
      </c>
      <c r="E41" s="74">
        <f t="shared" si="10"/>
        <v>47372.794171780086</v>
      </c>
      <c r="F41" s="74">
        <f t="shared" si="10"/>
        <v>57168.903038636403</v>
      </c>
      <c r="G41" s="74">
        <f t="shared" si="10"/>
        <v>-58886.388620833168</v>
      </c>
      <c r="H41" s="74">
        <f t="shared" si="10"/>
        <v>11276.408038636408</v>
      </c>
      <c r="I41" s="74">
        <f t="shared" si="10"/>
        <v>11276.408038636408</v>
      </c>
      <c r="J41" s="74">
        <f t="shared" si="10"/>
        <v>0</v>
      </c>
      <c r="K41" s="74">
        <f t="shared" si="10"/>
        <v>61577.487205302998</v>
      </c>
      <c r="L41" s="74">
        <f t="shared" si="10"/>
        <v>72491.487205303027</v>
      </c>
      <c r="M41" s="74">
        <f t="shared" si="10"/>
        <v>88490.653871969684</v>
      </c>
      <c r="N41" s="4"/>
    </row>
    <row r="42" spans="1:19" x14ac:dyDescent="0.2">
      <c r="A42" s="95" t="s">
        <v>62</v>
      </c>
      <c r="B42" s="40">
        <f>SUM($B3:B5,$B13:B13)-SUM($B9:B10,$B14:B14,$B39:B39)-SUM($B48:B49,-$B50:B50,-$B51:B51)</f>
        <v>-11444.264369633805</v>
      </c>
      <c r="C42" s="40">
        <f>SUM($B3:C5,$B13:C13,$B50:C50,$B51:C51)-SUM($B9:C10,$B14:C14,$B39:C39,$B48:C49)</f>
        <v>33225.302463257627</v>
      </c>
      <c r="D42" s="40">
        <f>SUM($B3:D5,$B13:D13,$B50:D50,$B51:D51)-SUM($B9:D10,$B14:D14,$B39:D39,$B48:D49)</f>
        <v>36016.610304482514</v>
      </c>
      <c r="E42" s="40">
        <f>SUM($B3:E5,$B13:E13,$B50:E50,$B51:E51)-SUM($B9:E10,$B14:E14,$B39:E39,$B48:E49)</f>
        <v>83389.404476262862</v>
      </c>
      <c r="F42" s="40">
        <f>SUM($B3:F5,$B13:F13,$B50:F50,$B51:F51)-SUM($B9:F10,$B14:F14,$B39:F39,$B48:F49)</f>
        <v>140558.30751489918</v>
      </c>
      <c r="G42" s="40">
        <f>SUM($B3:G5,$B13:G13,$B50:G50,$B51:G51)-SUM($B9:G10,$B14:G14,$B39:G39,$B48:G49)</f>
        <v>6197.4188940661261</v>
      </c>
      <c r="H42" s="40">
        <f>SUM($B3:H5,$B13:H13,$B50:H50,$B51:H51)-SUM($B9:H10,$B14:H14,$B39:H39,$B48:H49)</f>
        <v>17473.826932702446</v>
      </c>
      <c r="I42" s="40">
        <f>SUM($B3:I5,$B13:I13,$B50:I50,$B51:I51)-SUM($B9:I10,$B14:I14,$B39:I39,$B48:I49)</f>
        <v>28750.234971338185</v>
      </c>
      <c r="J42" s="40">
        <f>SUM($B3:J5,$B13:J13,$B50:J50,$B51:J51)-SUM($B9:J10,$B14:J14,$B39:J39,$B48:J49)</f>
        <v>28750.234971338185</v>
      </c>
      <c r="K42" s="40">
        <f>SUM($B3:K5,$B13:K13,$B50:K50,$B51:K51)-SUM($B9:K10,$B14:K14,$B39:K39,$B48:K49)</f>
        <v>90327.722176641459</v>
      </c>
      <c r="L42" s="40">
        <f>SUM($B3:L5,$B13:L13,$B50:L50,$B51:L51)-SUM($B9:L10,$B14:L14,$B39:L39,$B48:L49)</f>
        <v>162819.20938194473</v>
      </c>
      <c r="M42" s="40">
        <f>SUM($B3:M5,$B13:M13,$B50:M50,$B51:M51)-SUM($B9:M10,$B14:M14,$B39:M39,$B48:M49)</f>
        <v>151309.86325391452</v>
      </c>
      <c r="N42" s="4"/>
    </row>
    <row r="43" spans="1:19" x14ac:dyDescent="0.2">
      <c r="A43" s="49" t="s">
        <v>46</v>
      </c>
      <c r="B43" s="41">
        <f>IF(B63="x",VLOOKUP(B42,Tablas!$A$1:$D$10,3)+(B42-VLOOKUP(B42,Tablas!$A$1:$D$10,1))*VLOOKUP(B42,Tablas!$A$1:$D$10,4),VLOOKUP(B42,Tablas!$A$13:$D$22,3)+(B42-VLOOKUP(B42,Tablas!$A$13:$D$22,1))*VLOOKUP(B42,Tablas!$A$13:$D$22,4))</f>
        <v>0</v>
      </c>
      <c r="C43" s="41">
        <f>IF(C63="x",VLOOKUP(C42,Tablas!$A$1:$D$10,3)+(C42-VLOOKUP(C42,Tablas!$A$1:$D$10,1))*VLOOKUP(C42,Tablas!$A$1:$D$10,4),VLOOKUP(C42,Tablas!$A$25:$D$34,3)+(C42-VLOOKUP(C42,Tablas!$A$25:$D$34,1))*VLOOKUP(C42,Tablas!$A$25:$D$34,4))</f>
        <v>2940.2616694886442</v>
      </c>
      <c r="D43" s="41">
        <f>IF(D63="x",VLOOKUP(D42,Tablas!$A$1:$D$10,3)+(D42-VLOOKUP(D42,Tablas!$A$1:$D$10,1))*VLOOKUP(D42,Tablas!$A$1:$D$10,4),VLOOKUP(D42,Tablas!$A$37:$D$46,3)+(D42-VLOOKUP(D42,Tablas!$A$37:$D$46,1))*VLOOKUP(D42,Tablas!$A$37:$D$46,4))</f>
        <v>2708.6771615379021</v>
      </c>
      <c r="E43" s="41">
        <f>IF(E63="x",VLOOKUP(E42,Tablas!$A$1:$D$10,3)+(E42-VLOOKUP(E42,Tablas!$A$1:$D$10,1))*VLOOKUP(E42,Tablas!$A$1:$D$10,4),VLOOKUP(E42,Tablas!$A$49:$D$58,3)+(E42-VLOOKUP(E42,Tablas!$A$49:$D$58,1))*VLOOKUP(E42,Tablas!$A$49:$D$58,4))</f>
        <v>8421.3432714394294</v>
      </c>
      <c r="F43" s="41">
        <f>IF(F63="x",VLOOKUP(F42,Tablas!$A$1:$D$10,3)+(F42-VLOOKUP(F42,Tablas!$A$1:$D$10,1))*VLOOKUP(F42,Tablas!$A$1:$D$10,4),VLOOKUP(F42,Tablas!$A$61:$D$70,3)+(F42-VLOOKUP(F42,Tablas!$A$61:$D$70,1))*VLOOKUP(F42,Tablas!$A$61:$D$70,4))</f>
        <v>17295.067844497513</v>
      </c>
      <c r="G43" s="41">
        <f>IF(G63="x",VLOOKUP(G42,Tablas!$A$1:$D$10,3)+(G42-VLOOKUP(G42,Tablas!$A$1:$D$10,1))*VLOOKUP(G42,Tablas!$A$1:$D$10,4),VLOOKUP(G42,Tablas!$A$73:$D$82,3)+(G42-VLOOKUP(G42,Tablas!$A$73:$D$82,1))*VLOOKUP(G42,Tablas!$A$73:$D$82,4))</f>
        <v>309.87094470330635</v>
      </c>
      <c r="H43" s="41">
        <f>IF(H63="x",VLOOKUP(H42,Tablas!$A$1:$D$10,3)+(H42-VLOOKUP(H42,Tablas!$A$1:$D$10,1))*VLOOKUP(H42,Tablas!$A$1:$D$10,4),VLOOKUP(H42,Tablas!$A$85:$D$94,3)+(H42-VLOOKUP(H42,Tablas!$A$85:$D$94,1))*VLOOKUP(H42,Tablas!$A$85:$D$94,4))</f>
        <v>873.69134663512239</v>
      </c>
      <c r="I43" s="41">
        <f>IF(I63="x",VLOOKUP(I42,Tablas!$A$1:$D$10,3)+(I42-VLOOKUP(I42,Tablas!$A$1:$D$10,1))*VLOOKUP(I42,Tablas!$A$1:$D$10,4),VLOOKUP(I42,Tablas!$A$97:$D$106,3)+(I42-VLOOKUP(I42,Tablas!$A$97:$D$106,1))*VLOOKUP(I42,Tablas!$A$97:$D$106,4))</f>
        <v>1437.5117485669093</v>
      </c>
      <c r="J43" s="41">
        <f>IF(J63="x",VLOOKUP(J42,Tablas!$A$1:$D$10,3)+(J42-VLOOKUP(J42,Tablas!$A$1:$D$10,1))*VLOOKUP(J42,Tablas!$A$1:$D$10,4),VLOOKUP(J42,Tablas!$A$109:$D$118,3)+(J42-VLOOKUP(J42,Tablas!$A$109:$D$118,1))*VLOOKUP(J42,Tablas!$A$109:$D$118,4))</f>
        <v>1437.5117485669093</v>
      </c>
      <c r="K43" s="41">
        <f>IF(K63="x",VLOOKUP(K42,Tablas!$A$1:$D$10,3)+(K42-VLOOKUP(K42,Tablas!$A$1:$D$10,1))*VLOOKUP(K42,Tablas!$A$1:$D$10,4),VLOOKUP(K42,Tablas!$A$121:$D$130,3)+(K42-VLOOKUP(K42,Tablas!$A$121:$D$130,1))*VLOOKUP(K42,Tablas!$A$121:$D$130,4))</f>
        <v>5978.4069958977307</v>
      </c>
      <c r="L43" s="41">
        <f>IF(L63="x",VLOOKUP(L42,Tablas!$A$1:$D$10,3)+(L42-VLOOKUP(L42,Tablas!$A$1:$D$10,1))*VLOOKUP(L42,Tablas!$A$1:$D$10,4),VLOOKUP(L42,Tablas!$A$133:$D$142,3)+(L42-VLOOKUP(L42,Tablas!$A$133:$D$142,1))*VLOOKUP(L42,Tablas!$A$133:$D$142,4))</f>
        <v>13622.812850833368</v>
      </c>
      <c r="M43" s="41">
        <f>IF(M63="x",VLOOKUP(M42,Tablas!$A$1:$D$10,3)+(M42-VLOOKUP(M42,Tablas!$A$1:$D$10,1))*VLOOKUP(M42,Tablas!$A$1:$D$10,4),VLOOKUP(M42,Tablas!$A$1:$D$10,3)+(M42-VLOOKUP(M42,Tablas!$A$1:$D$10,1))*VLOOKUP(M42,Tablas!$A$1:$D$10,4))</f>
        <v>11703.919290469743</v>
      </c>
      <c r="N43" s="4"/>
    </row>
    <row r="44" spans="1:19" x14ac:dyDescent="0.2">
      <c r="B44" s="51">
        <f>IF(B63="x",VLOOKUP(MAX(0,B42),Tablas!$A$1:$D$10,4),VLOOKUP(MAX(0,B42),Tablas!$A$13:$D$22,4))</f>
        <v>0.05</v>
      </c>
      <c r="C44" s="51">
        <f>IF(C63="x",VLOOKUP(MAX(0,C42),Tablas!$A$1:$D$10,4),VLOOKUP(MAX(0,C42),Tablas!$A$25:$D$34,4))</f>
        <v>0.15</v>
      </c>
      <c r="D44" s="51">
        <f>IF(D63="x",VLOOKUP(MAX(0,D42),Tablas!$A$1:$D$10,4),VLOOKUP(MAX(0,D42),Tablas!$A$37:$D$46,4))</f>
        <v>0.12</v>
      </c>
      <c r="E44" s="51">
        <f>IF(E63="x",VLOOKUP(MAX(0,E42),Tablas!$A$1:$D$10,4),VLOOKUP(MAX(0,E42),Tablas!$A$49:$D$58,4))</f>
        <v>0.15</v>
      </c>
      <c r="F44" s="51">
        <f>IF(F63="x",VLOOKUP(MAX(0,F42),Tablas!$A$1:$D$10,4),VLOOKUP(MAX(0,F42),Tablas!$A$61:$D$70,4))</f>
        <v>0.19</v>
      </c>
      <c r="G44" s="51">
        <f>IF(G63="x",VLOOKUP(MAX(0,G42),Tablas!$A$1:$D$10,4),VLOOKUP(MAX(0,G42),Tablas!$A$73:$D$82,4))</f>
        <v>0.05</v>
      </c>
      <c r="H44" s="51">
        <f>IF(H63="x",VLOOKUP(MAX(0,H42),Tablas!$A$1:$D$10,4),VLOOKUP(MAX(0,H42),Tablas!$A$97:$D$106,4))</f>
        <v>0.05</v>
      </c>
      <c r="I44" s="51">
        <f>IF(I63="x",VLOOKUP(MAX(0,I42),Tablas!$A$1:$D$10,4),VLOOKUP(MAX(0,I42),Tablas!$A$97:$D$106,4))</f>
        <v>0.05</v>
      </c>
      <c r="J44" s="51">
        <f>IF(J63="x",VLOOKUP(MAX(0,J42),Tablas!$A$1:$D$10,4),VLOOKUP(MAX(0,J42),Tablas!$A$121:$D$130,4))</f>
        <v>0.05</v>
      </c>
      <c r="K44" s="51">
        <f>IF(K63="x",VLOOKUP(MAX(0,K42),Tablas!$A$1:$D$10,4),VLOOKUP(MAX(0,K42),Tablas!$A$121:$D$130,4))</f>
        <v>0.09</v>
      </c>
      <c r="L44" s="51">
        <f>IF(L63="x",VLOOKUP(MAX(0,L42),Tablas!$A$1:$D$10,4),VLOOKUP(MAX(0,L42),Tablas!$A$133:$D$142,4))</f>
        <v>0.12</v>
      </c>
      <c r="M44" s="51">
        <f>IF(M63="x",VLOOKUP(MAX(0,M42),Tablas!$A$1:$D$10,4),VLOOKUP(MAX(0,M42),Tablas!$A$1:$D$10,4))</f>
        <v>0.12</v>
      </c>
      <c r="N44" s="4"/>
    </row>
    <row r="45" spans="1:19" s="46" customFormat="1" x14ac:dyDescent="0.2">
      <c r="A45" s="44" t="s">
        <v>38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</row>
    <row r="46" spans="1:19" s="46" customFormat="1" x14ac:dyDescent="0.2">
      <c r="A46" s="44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</row>
    <row r="47" spans="1:19" s="46" customFormat="1" x14ac:dyDescent="0.2">
      <c r="A47" s="44" t="s">
        <v>40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</row>
    <row r="48" spans="1:19" s="48" customFormat="1" x14ac:dyDescent="0.2">
      <c r="A48" s="47" t="s">
        <v>41</v>
      </c>
      <c r="B48" s="47">
        <f>B45+B46/3*2+B47/2</f>
        <v>0</v>
      </c>
      <c r="C48" s="47">
        <f>C45+C46/3*2+C47/2</f>
        <v>0</v>
      </c>
      <c r="D48" s="47">
        <f t="shared" ref="D48:M48" si="11">D45+D46/3*2+D47/2</f>
        <v>0</v>
      </c>
      <c r="E48" s="47">
        <f t="shared" si="11"/>
        <v>0</v>
      </c>
      <c r="F48" s="47">
        <f t="shared" si="11"/>
        <v>0</v>
      </c>
      <c r="G48" s="47">
        <f t="shared" si="11"/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</row>
    <row r="49" spans="1:14" s="48" customFormat="1" x14ac:dyDescent="0.2">
      <c r="A49" s="47" t="s">
        <v>42</v>
      </c>
      <c r="B49" s="47">
        <f t="shared" ref="B49:M49" si="12">SUM(B45:B47)-B48</f>
        <v>0</v>
      </c>
      <c r="C49" s="47">
        <f t="shared" si="12"/>
        <v>0</v>
      </c>
      <c r="D49" s="47">
        <f t="shared" si="12"/>
        <v>0</v>
      </c>
      <c r="E49" s="47">
        <f t="shared" si="12"/>
        <v>0</v>
      </c>
      <c r="F49" s="47">
        <f t="shared" si="12"/>
        <v>0</v>
      </c>
      <c r="G49" s="47">
        <f t="shared" si="12"/>
        <v>0</v>
      </c>
      <c r="H49" s="47">
        <f t="shared" si="12"/>
        <v>0</v>
      </c>
      <c r="I49" s="47">
        <f t="shared" si="12"/>
        <v>0</v>
      </c>
      <c r="J49" s="47">
        <f t="shared" si="12"/>
        <v>0</v>
      </c>
      <c r="K49" s="47">
        <f t="shared" si="12"/>
        <v>0</v>
      </c>
      <c r="L49" s="47">
        <f t="shared" si="12"/>
        <v>0</v>
      </c>
      <c r="M49" s="47">
        <f t="shared" si="12"/>
        <v>0</v>
      </c>
    </row>
    <row r="50" spans="1:14" s="48" customFormat="1" x14ac:dyDescent="0.2">
      <c r="A50" s="47" t="s">
        <v>43</v>
      </c>
      <c r="B50" s="47">
        <f t="shared" ref="B50:M50" si="13">B48*(0.17+$B$72)</f>
        <v>0</v>
      </c>
      <c r="C50" s="47">
        <f t="shared" si="13"/>
        <v>0</v>
      </c>
      <c r="D50" s="47">
        <f t="shared" si="13"/>
        <v>0</v>
      </c>
      <c r="E50" s="47">
        <f t="shared" si="13"/>
        <v>0</v>
      </c>
      <c r="F50" s="47">
        <f t="shared" si="13"/>
        <v>0</v>
      </c>
      <c r="G50" s="47">
        <f t="shared" si="13"/>
        <v>0</v>
      </c>
      <c r="H50" s="47">
        <f t="shared" si="13"/>
        <v>0</v>
      </c>
      <c r="I50" s="47">
        <f t="shared" si="13"/>
        <v>0</v>
      </c>
      <c r="J50" s="47">
        <f t="shared" si="13"/>
        <v>0</v>
      </c>
      <c r="K50" s="47">
        <f t="shared" si="13"/>
        <v>0</v>
      </c>
      <c r="L50" s="47">
        <f t="shared" si="13"/>
        <v>0</v>
      </c>
      <c r="M50" s="47">
        <f t="shared" si="13"/>
        <v>0</v>
      </c>
    </row>
    <row r="51" spans="1:14" s="48" customFormat="1" x14ac:dyDescent="0.2">
      <c r="A51" s="47" t="s">
        <v>44</v>
      </c>
      <c r="B51" s="47">
        <f t="shared" ref="B51:M51" si="14">B49*(0.17+$B$72)</f>
        <v>0</v>
      </c>
      <c r="C51" s="47">
        <f t="shared" si="14"/>
        <v>0</v>
      </c>
      <c r="D51" s="47">
        <f t="shared" si="14"/>
        <v>0</v>
      </c>
      <c r="E51" s="47">
        <f t="shared" si="14"/>
        <v>0</v>
      </c>
      <c r="F51" s="47">
        <f t="shared" si="14"/>
        <v>0</v>
      </c>
      <c r="G51" s="47">
        <f t="shared" si="14"/>
        <v>0</v>
      </c>
      <c r="H51" s="47">
        <f t="shared" si="14"/>
        <v>0</v>
      </c>
      <c r="I51" s="47">
        <f t="shared" si="14"/>
        <v>0</v>
      </c>
      <c r="J51" s="47">
        <f t="shared" si="14"/>
        <v>0</v>
      </c>
      <c r="K51" s="47">
        <f t="shared" si="14"/>
        <v>0</v>
      </c>
      <c r="L51" s="47">
        <f t="shared" si="14"/>
        <v>0</v>
      </c>
      <c r="M51" s="47">
        <f t="shared" si="14"/>
        <v>0</v>
      </c>
    </row>
    <row r="52" spans="1:14" s="46" customFormat="1" x14ac:dyDescent="0.2">
      <c r="A52" s="49"/>
      <c r="K52" s="50"/>
      <c r="L52" s="50"/>
      <c r="M52" s="50"/>
      <c r="N52" s="50"/>
    </row>
    <row r="53" spans="1:14" s="46" customFormat="1" x14ac:dyDescent="0.2">
      <c r="A53" s="49" t="s">
        <v>45</v>
      </c>
      <c r="B53" s="40">
        <f>B42+B48-B50</f>
        <v>-11444.264369633805</v>
      </c>
      <c r="C53" s="40">
        <f>C42+SUM($B48:C48)-SUM($B50:C50)</f>
        <v>33225.302463257627</v>
      </c>
      <c r="D53" s="40">
        <f>D42+SUM($B48:D48)-SUM($B50:D50)</f>
        <v>36016.610304482514</v>
      </c>
      <c r="E53" s="40">
        <f>E42+SUM($B48:E48)-SUM($B50:E50)</f>
        <v>83389.404476262862</v>
      </c>
      <c r="F53" s="40">
        <f>F42+SUM($B48:F48)-SUM($B50:F50)</f>
        <v>140558.30751489918</v>
      </c>
      <c r="G53" s="40">
        <f>G42+SUM($B48:G48)-SUM($B50:G50)</f>
        <v>6197.4188940661261</v>
      </c>
      <c r="H53" s="40">
        <f>H42+SUM($B48:H48)-SUM($B50:H50)</f>
        <v>17473.826932702446</v>
      </c>
      <c r="I53" s="40">
        <f>I42+SUM($B48:I48)-SUM($B50:I50)</f>
        <v>28750.234971338185</v>
      </c>
      <c r="J53" s="40">
        <f>J42+SUM($B48:J48)-SUM($B50:J50)</f>
        <v>28750.234971338185</v>
      </c>
      <c r="K53" s="40">
        <f>K42+SUM($B48:K48)-SUM($B50:K50)</f>
        <v>90327.722176641459</v>
      </c>
      <c r="L53" s="40">
        <f>L42+SUM($B48:L48)-SUM($B50:L50)</f>
        <v>162819.20938194473</v>
      </c>
      <c r="M53" s="40">
        <f>M42+SUM($B48:M48)-SUM($B50:M50)</f>
        <v>151309.86325391452</v>
      </c>
      <c r="N53" s="4"/>
    </row>
    <row r="54" spans="1:14" s="46" customFormat="1" x14ac:dyDescent="0.2">
      <c r="A54" s="49" t="s">
        <v>46</v>
      </c>
      <c r="B54" s="41">
        <f>MAX(0,MIN(B48-B50,B53)*B44+B43)</f>
        <v>0</v>
      </c>
      <c r="C54" s="41">
        <f>MAX(0,MIN(SUM($B48:C48)-SUM($B50:C50),C53)*C44+C43)</f>
        <v>2940.2616694886442</v>
      </c>
      <c r="D54" s="41">
        <f>MAX(0,MIN(SUM($B48:D48)-SUM($B50:D50),D53)*D44+D43)</f>
        <v>2708.6771615379021</v>
      </c>
      <c r="E54" s="41">
        <f>MAX(0,MIN(SUM($B48:E48)-SUM($B50:E50),E53)*E44+E43)</f>
        <v>8421.3432714394294</v>
      </c>
      <c r="F54" s="41">
        <f>MAX(0,MIN(SUM($B48:F48)-SUM($B50:F50),F53)*F44+F43)</f>
        <v>17295.067844497513</v>
      </c>
      <c r="G54" s="41">
        <f>MAX(0,MIN(SUM($B48:G48)-SUM($B50:G50),G53)*G44+G43)</f>
        <v>309.87094470330635</v>
      </c>
      <c r="H54" s="41">
        <f>MAX(0,MIN(SUM($B48:H48)-SUM($B50:H50),H53)*H44+H43)</f>
        <v>873.69134663512239</v>
      </c>
      <c r="I54" s="41">
        <f>MAX(0,MIN(SUM($B48:I48)-SUM($B50:I50),I53)*I44+I43)</f>
        <v>1437.5117485669093</v>
      </c>
      <c r="J54" s="41">
        <f>MAX(0,MIN(SUM($B48:J48)-SUM($B50:J50),J53)*J44+J43)</f>
        <v>1437.5117485669093</v>
      </c>
      <c r="K54" s="41">
        <f>MAX(0,MIN(SUM($B48:K48)-SUM($B50:K50),K53)*K44+K43)</f>
        <v>5978.4069958977307</v>
      </c>
      <c r="L54" s="41">
        <f>MAX(0,MIN(SUM($B48:L48)-SUM($B50:L50),L53)*L44+L43)</f>
        <v>13622.812850833368</v>
      </c>
      <c r="M54" s="41">
        <f>MAX(0,MIN(SUM($B48:M48)-SUM($B50:M50),M53)*M44+M43)</f>
        <v>11703.919290469743</v>
      </c>
      <c r="N54" s="4"/>
    </row>
    <row r="55" spans="1:14" s="56" customFormat="1" ht="12.75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4"/>
    </row>
    <row r="56" spans="1:14" x14ac:dyDescent="0.2">
      <c r="A56" s="95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97">
        <f>-G87</f>
        <v>-12724.0233092702</v>
      </c>
      <c r="H56" s="97">
        <f>-$G56/5</f>
        <v>2544.8046618540402</v>
      </c>
      <c r="I56" s="97">
        <f t="shared" ref="I56:L56" si="15">-$G56/5</f>
        <v>2544.8046618540402</v>
      </c>
      <c r="J56" s="97">
        <f t="shared" si="15"/>
        <v>2544.8046618540402</v>
      </c>
      <c r="K56" s="97">
        <f t="shared" si="15"/>
        <v>2544.8046618540402</v>
      </c>
      <c r="L56" s="97">
        <f t="shared" si="15"/>
        <v>2544.8046618540402</v>
      </c>
      <c r="M56" s="15">
        <v>0</v>
      </c>
      <c r="N56" s="4"/>
    </row>
    <row r="57" spans="1:14" x14ac:dyDescent="0.2">
      <c r="A57" s="4" t="s">
        <v>0</v>
      </c>
      <c r="B57" s="11">
        <f>0+B56</f>
        <v>0</v>
      </c>
      <c r="C57" s="11">
        <f>B57+B58+C56</f>
        <v>0</v>
      </c>
      <c r="D57" s="11">
        <f t="shared" ref="D57:M57" si="16">C57+C58+D56</f>
        <v>2940.26</v>
      </c>
      <c r="E57" s="11">
        <f t="shared" si="16"/>
        <v>2708.6800000000003</v>
      </c>
      <c r="F57" s="11">
        <f t="shared" si="16"/>
        <v>8421.34</v>
      </c>
      <c r="G57" s="11">
        <f t="shared" si="16"/>
        <v>4571.0466907297996</v>
      </c>
      <c r="H57" s="11">
        <f t="shared" si="16"/>
        <v>2854.6713525838395</v>
      </c>
      <c r="I57" s="11">
        <f t="shared" si="16"/>
        <v>3418.4960144378797</v>
      </c>
      <c r="J57" s="11">
        <f t="shared" si="16"/>
        <v>3982.3206762919199</v>
      </c>
      <c r="K57" s="11">
        <f t="shared" si="16"/>
        <v>3982.3153381459601</v>
      </c>
      <c r="L57" s="11">
        <f t="shared" si="16"/>
        <v>8523.2099999999991</v>
      </c>
      <c r="M57" s="11">
        <f t="shared" si="16"/>
        <v>13622.81</v>
      </c>
      <c r="N57" s="4"/>
    </row>
    <row r="58" spans="1:14" x14ac:dyDescent="0.2">
      <c r="A58" s="4" t="s">
        <v>22</v>
      </c>
      <c r="B58" s="11">
        <f>MIN(ROUND(B54-B57,2),B59)</f>
        <v>0</v>
      </c>
      <c r="C58" s="11">
        <f>MAX(-SUM($B58:B58)-SUM($B56:C56),  IF(COUNTIF($B$63:B$63,"X")&gt;0,0,MIN(ROUND(C54-C57,2),C59)))</f>
        <v>2940.26</v>
      </c>
      <c r="D58" s="11">
        <f>MAX(-SUM($B58:C58)-SUM($B56:D56),  IF(COUNTIF($B$63:C$63,"X")&gt;0,0,MIN(ROUND(D54-D57,2),D59)))</f>
        <v>-231.58</v>
      </c>
      <c r="E58" s="11">
        <f>MAX(-SUM($B58:D58)-SUM($B56:E56),  IF(COUNTIF($B$63:D$63,"X")&gt;0,0,MIN(ROUND(E54-E57,2),E59)))</f>
        <v>5712.66</v>
      </c>
      <c r="F58" s="11">
        <f>MAX(-SUM($B58:E58)-SUM($B56:F56),  IF(COUNTIF($B$63:E$63,"X")&gt;0,0,MIN(ROUND(F54-F57,2),F59)))</f>
        <v>8873.73</v>
      </c>
      <c r="G58" s="11">
        <f>MAX(-SUM($B58:F58)-SUM($B56:G56),  IF(COUNTIF($B$63:F$63,"X")&gt;0,0,MIN(ROUND(G54-G57,2),G59)))</f>
        <v>-4261.18</v>
      </c>
      <c r="H58" s="11">
        <f>MAX(-SUM($B58:G58)-SUM($B56:H56),  IF(COUNTIF($B$63:G$63,"X")&gt;0,0,MIN(ROUND(H54-H57,2),H59)))</f>
        <v>-1980.98</v>
      </c>
      <c r="I58" s="11">
        <f>MAX(-SUM($B58:H58)-SUM($B56:I56),  IF(COUNTIF($B$63:H$63,"X")&gt;0,0,MIN(ROUND(I54-I57,2),I59)))</f>
        <v>-1980.98</v>
      </c>
      <c r="J58" s="11">
        <f>MAX(-SUM($B58:I58)-SUM($B56:J56),  IF(COUNTIF($B$63:I$63,"X")&gt;0,0,MIN(ROUND(J54-J57,2),J59)))</f>
        <v>-2544.81</v>
      </c>
      <c r="K58" s="11">
        <f>MAX(-SUM($B58:J58)-SUM($B56:K56),  IF(COUNTIF($B$63:J$63,"X")&gt;0,0,MIN(ROUND(K54-K57,2),K59)))</f>
        <v>1996.09</v>
      </c>
      <c r="L58" s="11">
        <f>MAX(-SUM($B58:K58)-SUM($B56:L56),  IF(COUNTIF($B$63:K$63,"X")&gt;0,0,MIN(ROUND(L54-L57,2),L59)))</f>
        <v>5099.6000000000004</v>
      </c>
      <c r="M58" s="11">
        <f>MAX(-SUM($B58:L58)-SUM($B56:M56),  IF(COUNTIF($B$63:L$63,"X")&gt;0,0,MIN(ROUND(M54-M57,2),M59)))</f>
        <v>-1918.89</v>
      </c>
      <c r="N58" s="8">
        <f>SUM(B58:M58)</f>
        <v>11703.920000000002</v>
      </c>
    </row>
    <row r="59" spans="1:14" s="26" customFormat="1" x14ac:dyDescent="0.2">
      <c r="A59" s="24" t="s">
        <v>30</v>
      </c>
      <c r="B59" s="25">
        <f>(SUM(B3:B5,,B63:B65)) *0.35</f>
        <v>59754.238406881312</v>
      </c>
      <c r="C59" s="25">
        <f t="shared" ref="C59:M59" si="17">(SUM(C3:C5,C63:C65)) *0.35</f>
        <v>93918.816212436883</v>
      </c>
      <c r="D59" s="25">
        <f t="shared" si="17"/>
        <v>47934.674920770223</v>
      </c>
      <c r="E59" s="25">
        <f t="shared" si="17"/>
        <v>54936.862517992326</v>
      </c>
      <c r="F59" s="25">
        <f t="shared" si="17"/>
        <v>62846.883166666667</v>
      </c>
      <c r="G59" s="25">
        <f t="shared" si="17"/>
        <v>33364.741790404041</v>
      </c>
      <c r="H59" s="25">
        <f t="shared" si="17"/>
        <v>56986.854166666664</v>
      </c>
      <c r="I59" s="25">
        <f t="shared" si="17"/>
        <v>56986.854166666664</v>
      </c>
      <c r="J59" s="25">
        <f t="shared" si="17"/>
        <v>64458.333333333328</v>
      </c>
      <c r="K59" s="25">
        <f t="shared" si="17"/>
        <v>75833.333333333328</v>
      </c>
      <c r="L59" s="25">
        <f t="shared" si="17"/>
        <v>75833.333333333328</v>
      </c>
      <c r="M59" s="25">
        <f t="shared" si="17"/>
        <v>44607.791666666664</v>
      </c>
    </row>
    <row r="60" spans="1:14" s="26" customFormat="1" x14ac:dyDescent="0.2">
      <c r="A60" s="24" t="s">
        <v>60</v>
      </c>
      <c r="B60" s="25">
        <f t="shared" ref="B60:M60" si="18">MAX(0,ROUND(B43-B57,2)-B58)</f>
        <v>0</v>
      </c>
      <c r="C60" s="25">
        <f t="shared" si="18"/>
        <v>0</v>
      </c>
      <c r="D60" s="25">
        <f t="shared" si="18"/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5">
        <f t="shared" si="18"/>
        <v>0</v>
      </c>
      <c r="K60" s="25">
        <f t="shared" si="18"/>
        <v>0</v>
      </c>
      <c r="L60" s="25">
        <f t="shared" si="18"/>
        <v>0</v>
      </c>
      <c r="M60" s="25">
        <f t="shared" si="18"/>
        <v>0</v>
      </c>
    </row>
    <row r="61" spans="1:14" s="26" customForma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4" s="26" customFormat="1" x14ac:dyDescent="0.2">
      <c r="A62" s="119" t="s">
        <v>84</v>
      </c>
      <c r="B62" s="90"/>
      <c r="C62" s="90"/>
      <c r="D62" s="90"/>
      <c r="E62" s="90"/>
      <c r="F62" s="90"/>
      <c r="G62" s="90"/>
      <c r="H62" s="90">
        <f>H58+H56</f>
        <v>563.82466185404019</v>
      </c>
      <c r="I62" s="90">
        <f t="shared" ref="I62:M62" si="19">I58+I56</f>
        <v>563.82466185404019</v>
      </c>
      <c r="J62" s="90">
        <f t="shared" si="19"/>
        <v>-5.3381459597403591E-3</v>
      </c>
      <c r="K62" s="90">
        <f t="shared" si="19"/>
        <v>4540.8946618540404</v>
      </c>
      <c r="L62" s="90">
        <f t="shared" si="19"/>
        <v>7644.4046618540406</v>
      </c>
      <c r="M62" s="90">
        <f t="shared" si="19"/>
        <v>-1918.89</v>
      </c>
    </row>
    <row r="63" spans="1:14" s="30" customFormat="1" x14ac:dyDescent="0.2">
      <c r="A63" s="28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4" x14ac:dyDescent="0.2">
      <c r="A64" s="39" t="s">
        <v>35</v>
      </c>
      <c r="B64" s="58">
        <f>34330.47-12000</f>
        <v>22330.47</v>
      </c>
      <c r="C64" s="58">
        <v>0</v>
      </c>
      <c r="D64" s="58">
        <v>0</v>
      </c>
      <c r="E64" s="58">
        <v>0</v>
      </c>
      <c r="F64" s="58">
        <v>0</v>
      </c>
      <c r="G64" s="58"/>
      <c r="H64" s="16"/>
      <c r="I64" s="15"/>
      <c r="J64" s="17"/>
      <c r="K64" s="17"/>
      <c r="L64" s="17"/>
      <c r="M64" s="17"/>
      <c r="N64" s="3"/>
    </row>
    <row r="65" spans="1:17" x14ac:dyDescent="0.2">
      <c r="A65" s="39" t="s">
        <v>28</v>
      </c>
      <c r="B65" s="58">
        <v>12000</v>
      </c>
      <c r="C65" s="58">
        <v>117505</v>
      </c>
      <c r="D65" s="58">
        <v>0</v>
      </c>
      <c r="E65" s="58">
        <v>0</v>
      </c>
      <c r="F65" s="58">
        <v>13000</v>
      </c>
      <c r="G65" s="58"/>
      <c r="H65" s="16"/>
      <c r="I65" s="16"/>
      <c r="J65" s="16"/>
      <c r="K65" s="16"/>
      <c r="L65" s="17"/>
      <c r="M65" s="17"/>
      <c r="N65" s="3"/>
    </row>
    <row r="66" spans="1:17" s="37" customFormat="1" x14ac:dyDescent="0.2">
      <c r="A66" s="35" t="str">
        <f>A64&amp;" (Ap)"</f>
        <v>Prorrateo Vacaciones (Ap)</v>
      </c>
      <c r="B66" s="96">
        <f>B64*(0.17+$B$72)</f>
        <v>3796.1799000000005</v>
      </c>
      <c r="C66" s="96">
        <f t="shared" ref="C66:M66" si="20">C64*(0.17+$B$72)</f>
        <v>0</v>
      </c>
      <c r="D66" s="96">
        <f t="shared" si="20"/>
        <v>0</v>
      </c>
      <c r="E66" s="96">
        <f t="shared" si="20"/>
        <v>0</v>
      </c>
      <c r="F66" s="96">
        <f t="shared" si="20"/>
        <v>0</v>
      </c>
      <c r="G66" s="96">
        <f t="shared" si="20"/>
        <v>0</v>
      </c>
      <c r="H66" s="96">
        <f t="shared" si="20"/>
        <v>0</v>
      </c>
      <c r="I66" s="96">
        <f t="shared" si="20"/>
        <v>0</v>
      </c>
      <c r="J66" s="96">
        <f t="shared" si="20"/>
        <v>0</v>
      </c>
      <c r="K66" s="96">
        <f t="shared" si="20"/>
        <v>0</v>
      </c>
      <c r="L66" s="96">
        <f t="shared" si="20"/>
        <v>0</v>
      </c>
      <c r="M66" s="96">
        <f t="shared" si="20"/>
        <v>0</v>
      </c>
      <c r="N66" s="36"/>
    </row>
    <row r="67" spans="1:17" s="37" customFormat="1" x14ac:dyDescent="0.2">
      <c r="A67" s="35" t="str">
        <f>A65&amp;" (Ap)"</f>
        <v>Prorrateo Premios (Ap)</v>
      </c>
      <c r="B67" s="96">
        <f t="shared" ref="B67:M67" si="21">B65*(0.17+$B$72)</f>
        <v>2040.0000000000002</v>
      </c>
      <c r="C67" s="96">
        <f t="shared" si="21"/>
        <v>19975.850000000002</v>
      </c>
      <c r="D67" s="96">
        <f t="shared" si="21"/>
        <v>0</v>
      </c>
      <c r="E67" s="96">
        <f t="shared" si="21"/>
        <v>0</v>
      </c>
      <c r="F67" s="96">
        <f t="shared" si="21"/>
        <v>2210</v>
      </c>
      <c r="G67" s="96">
        <f t="shared" si="21"/>
        <v>0</v>
      </c>
      <c r="H67" s="96">
        <f t="shared" si="21"/>
        <v>0</v>
      </c>
      <c r="I67" s="96">
        <f t="shared" si="21"/>
        <v>0</v>
      </c>
      <c r="J67" s="96">
        <f t="shared" si="21"/>
        <v>0</v>
      </c>
      <c r="K67" s="96">
        <f t="shared" si="21"/>
        <v>0</v>
      </c>
      <c r="L67" s="96">
        <f t="shared" si="21"/>
        <v>0</v>
      </c>
      <c r="M67" s="96">
        <f t="shared" si="21"/>
        <v>0</v>
      </c>
      <c r="N67" s="36"/>
    </row>
    <row r="68" spans="1:17" x14ac:dyDescent="0.2">
      <c r="A68" s="31"/>
      <c r="B68" s="59"/>
      <c r="C68" s="59"/>
      <c r="D68" s="59"/>
      <c r="E68" s="59"/>
      <c r="F68" s="91"/>
      <c r="J68" s="93"/>
    </row>
    <row r="69" spans="1:17" x14ac:dyDescent="0.2">
      <c r="A69" s="31" t="s">
        <v>20</v>
      </c>
      <c r="B69" s="33">
        <v>0</v>
      </c>
      <c r="C69" s="22">
        <f t="shared" ref="C69:M71" si="22">B69</f>
        <v>0</v>
      </c>
      <c r="D69" s="22">
        <f t="shared" si="22"/>
        <v>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3"/>
    </row>
    <row r="70" spans="1:17" x14ac:dyDescent="0.2">
      <c r="A70" s="31" t="s">
        <v>21</v>
      </c>
      <c r="B70" s="33">
        <v>2</v>
      </c>
      <c r="C70" s="22">
        <f t="shared" ref="C70" si="23">B70</f>
        <v>2</v>
      </c>
      <c r="D70" s="22">
        <f t="shared" ref="D70" si="24">C70</f>
        <v>2</v>
      </c>
      <c r="E70" s="22">
        <f t="shared" ref="E70" si="25">D70</f>
        <v>2</v>
      </c>
      <c r="F70" s="22">
        <f t="shared" ref="F70" si="26">E70</f>
        <v>2</v>
      </c>
      <c r="G70" s="22">
        <f t="shared" ref="G70" si="27">F70</f>
        <v>2</v>
      </c>
      <c r="H70" s="22">
        <f t="shared" ref="H70" si="28">G70</f>
        <v>2</v>
      </c>
      <c r="I70" s="22">
        <f t="shared" ref="I70" si="29">H70</f>
        <v>2</v>
      </c>
      <c r="J70" s="22">
        <f t="shared" ref="J70" si="30">I70</f>
        <v>2</v>
      </c>
      <c r="K70" s="22">
        <f t="shared" ref="K70" si="31">J70</f>
        <v>2</v>
      </c>
      <c r="L70" s="22">
        <f t="shared" ref="L70" si="32">K70</f>
        <v>2</v>
      </c>
      <c r="M70" s="22">
        <f t="shared" ref="M70" si="33">L70</f>
        <v>2</v>
      </c>
      <c r="N70" s="23"/>
    </row>
    <row r="71" spans="1:17" x14ac:dyDescent="0.2">
      <c r="A71" s="124" t="s">
        <v>88</v>
      </c>
      <c r="B71" s="33">
        <v>0</v>
      </c>
      <c r="C71" s="22">
        <f t="shared" si="22"/>
        <v>0</v>
      </c>
      <c r="D71" s="22">
        <f t="shared" si="22"/>
        <v>0</v>
      </c>
      <c r="E71" s="22">
        <f t="shared" si="22"/>
        <v>0</v>
      </c>
      <c r="F71" s="22">
        <f t="shared" si="22"/>
        <v>0</v>
      </c>
      <c r="G71" s="22">
        <f t="shared" si="22"/>
        <v>0</v>
      </c>
      <c r="H71" s="22">
        <f t="shared" si="22"/>
        <v>0</v>
      </c>
      <c r="I71" s="22">
        <f t="shared" si="22"/>
        <v>0</v>
      </c>
      <c r="J71" s="22">
        <f t="shared" si="22"/>
        <v>0</v>
      </c>
      <c r="K71" s="22">
        <f t="shared" si="22"/>
        <v>0</v>
      </c>
      <c r="L71" s="22">
        <f t="shared" si="22"/>
        <v>0</v>
      </c>
      <c r="M71" s="22">
        <f t="shared" si="22"/>
        <v>0</v>
      </c>
      <c r="N71" s="23"/>
    </row>
    <row r="72" spans="1:17" x14ac:dyDescent="0.2">
      <c r="A72" s="52" t="s">
        <v>47</v>
      </c>
      <c r="B72" s="53">
        <v>0</v>
      </c>
      <c r="F72" s="64"/>
      <c r="J72" s="12"/>
      <c r="K72" s="12"/>
      <c r="L72" s="12"/>
      <c r="M72" s="12"/>
    </row>
    <row r="74" spans="1:17" x14ac:dyDescent="0.2">
      <c r="B74" s="64"/>
    </row>
    <row r="75" spans="1:17" s="99" customFormat="1" ht="12.75" x14ac:dyDescent="0.25">
      <c r="A75" s="104" t="s">
        <v>72</v>
      </c>
      <c r="B75" s="104">
        <f t="shared" ref="B75:M75" si="34">SUM(B3:B4,B64:B65)</f>
        <v>160757.47810606062</v>
      </c>
      <c r="C75" s="104">
        <f t="shared" si="34"/>
        <v>257831.64143939398</v>
      </c>
      <c r="D75" s="104">
        <f t="shared" si="34"/>
        <v>126448.38143939401</v>
      </c>
      <c r="E75" s="104">
        <f t="shared" si="34"/>
        <v>144904.96477272702</v>
      </c>
      <c r="F75" s="104">
        <f t="shared" si="34"/>
        <v>166983.44</v>
      </c>
      <c r="G75" s="104">
        <f t="shared" si="34"/>
        <v>150949</v>
      </c>
      <c r="H75" s="104">
        <f t="shared" si="34"/>
        <v>150295</v>
      </c>
      <c r="I75" s="104">
        <f t="shared" si="34"/>
        <v>150295</v>
      </c>
      <c r="J75" s="104">
        <f t="shared" si="34"/>
        <v>170000</v>
      </c>
      <c r="K75" s="104">
        <f t="shared" si="34"/>
        <v>200000</v>
      </c>
      <c r="L75" s="104">
        <f t="shared" si="34"/>
        <v>200000</v>
      </c>
      <c r="M75" s="104">
        <f t="shared" si="34"/>
        <v>200000</v>
      </c>
      <c r="O75" s="105"/>
      <c r="P75" s="105"/>
      <c r="Q75" s="24"/>
    </row>
    <row r="76" spans="1:17" s="99" customFormat="1" x14ac:dyDescent="0.2">
      <c r="A76" s="104" t="s">
        <v>73</v>
      </c>
      <c r="B76" s="104">
        <f>AVERAGE($B75:B75)</f>
        <v>160757.47810606062</v>
      </c>
      <c r="C76" s="104">
        <f>AVERAGE($B75:C75)</f>
        <v>209294.55977272731</v>
      </c>
      <c r="D76" s="104">
        <f>AVERAGE($B75:D75)</f>
        <v>181679.16699494954</v>
      </c>
      <c r="E76" s="104">
        <f>AVERAGE($B75:E75)</f>
        <v>172485.6164393939</v>
      </c>
      <c r="F76" s="104">
        <f>AVERAGE($B75:F75)</f>
        <v>171385.18115151511</v>
      </c>
      <c r="G76" s="104">
        <f>AVERAGE($B75:G75)</f>
        <v>167979.15095959592</v>
      </c>
      <c r="H76" s="104">
        <f>AVERAGE($B75:H75)</f>
        <v>165452.84367965366</v>
      </c>
      <c r="I76" s="104">
        <f>AVERAGE($B75:I75)</f>
        <v>163558.11321969694</v>
      </c>
      <c r="J76" s="106">
        <f>AVERAGE($J75:J75)</f>
        <v>170000</v>
      </c>
      <c r="K76" s="106">
        <f>AVERAGE($J75:K75)</f>
        <v>185000</v>
      </c>
      <c r="L76" s="106">
        <f>AVERAGE($J75:L75)</f>
        <v>190000</v>
      </c>
      <c r="M76" s="106">
        <f>AVERAGE($J75:M75)</f>
        <v>192500</v>
      </c>
      <c r="O76" s="107"/>
      <c r="P76" s="108"/>
      <c r="Q76" s="109"/>
    </row>
    <row r="77" spans="1:17" s="99" customFormat="1" x14ac:dyDescent="0.2">
      <c r="A77" s="104" t="s">
        <v>74</v>
      </c>
      <c r="B77" s="104">
        <f>MIN(B75:B76)</f>
        <v>160757.47810606062</v>
      </c>
      <c r="C77" s="104">
        <f t="shared" ref="C77:M77" si="35">MIN(C75:C76)</f>
        <v>209294.55977272731</v>
      </c>
      <c r="D77" s="104">
        <f t="shared" si="35"/>
        <v>126448.38143939401</v>
      </c>
      <c r="E77" s="104">
        <f t="shared" si="35"/>
        <v>144904.96477272702</v>
      </c>
      <c r="F77" s="104">
        <f t="shared" si="35"/>
        <v>166983.44</v>
      </c>
      <c r="G77" s="104">
        <f t="shared" si="35"/>
        <v>150949</v>
      </c>
      <c r="H77" s="104">
        <f t="shared" si="35"/>
        <v>150295</v>
      </c>
      <c r="I77" s="104">
        <f t="shared" si="35"/>
        <v>150295</v>
      </c>
      <c r="J77" s="104">
        <f t="shared" si="35"/>
        <v>170000</v>
      </c>
      <c r="K77" s="104">
        <f t="shared" si="35"/>
        <v>185000</v>
      </c>
      <c r="L77" s="104">
        <f t="shared" si="35"/>
        <v>190000</v>
      </c>
      <c r="M77" s="104">
        <f t="shared" si="35"/>
        <v>192500</v>
      </c>
      <c r="O77" s="107"/>
      <c r="P77" s="108"/>
      <c r="Q77" s="109"/>
    </row>
    <row r="78" spans="1:17" s="99" customForma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O78" s="107"/>
      <c r="P78" s="108"/>
      <c r="Q78" s="109"/>
    </row>
    <row r="79" spans="1:17" s="99" customFormat="1" ht="13.5" x14ac:dyDescent="0.35">
      <c r="A79" s="110" t="s">
        <v>75</v>
      </c>
      <c r="G79" s="114" t="s">
        <v>78</v>
      </c>
      <c r="H79" s="111"/>
      <c r="J79" s="112"/>
      <c r="K79" s="112"/>
      <c r="L79" s="112"/>
      <c r="M79" s="112"/>
      <c r="O79" s="107"/>
      <c r="P79" s="108"/>
      <c r="Q79" s="109"/>
    </row>
    <row r="80" spans="1:17" s="99" customFormat="1" x14ac:dyDescent="0.2">
      <c r="A80" s="113" t="s">
        <v>76</v>
      </c>
      <c r="B80" s="113">
        <f>IF(B77&lt;150000, MAX(0,B11+B16-SUM(B18:B27,B32:B37)),0)</f>
        <v>0</v>
      </c>
      <c r="C80" s="113">
        <f>IF(C77&lt;150000, MAX(0,C11+C16-SUM(C18:C27,C32:C37)),0)</f>
        <v>0</v>
      </c>
      <c r="D80" s="113">
        <f>IF(D77&lt;150000, MAX(0,D11+D16-SUM(D18:D27,D32:D37)),0)</f>
        <v>2791.3078412248142</v>
      </c>
      <c r="E80" s="113">
        <f>IF(E77&lt;150000, MAX(0,E11+E16-SUM(E18:E27,E32:E37)),0)</f>
        <v>47372.794171780086</v>
      </c>
      <c r="F80" s="113">
        <f>IF(F77&lt;150000, MAX(0,F11+F16-SUM(F18:F27,F32:F37)),0)</f>
        <v>0</v>
      </c>
      <c r="G80" s="86">
        <f>SUM(B80:F80)</f>
        <v>50164.1020130049</v>
      </c>
      <c r="H80" s="111"/>
      <c r="J80" s="112"/>
      <c r="K80" s="112"/>
      <c r="L80" s="112"/>
      <c r="M80" s="112"/>
      <c r="O80" s="107"/>
      <c r="P80" s="108"/>
      <c r="Q80" s="109"/>
    </row>
    <row r="81" spans="1:19" s="99" customFormat="1" x14ac:dyDescent="0.2">
      <c r="A81" s="113" t="s">
        <v>77</v>
      </c>
      <c r="B81" s="113">
        <f>VLOOKUP(B77,Tablas!$G:$H,2)</f>
        <v>20252</v>
      </c>
      <c r="C81" s="113">
        <f>VLOOKUP(C77,Tablas!$G:$H,2)</f>
        <v>0</v>
      </c>
      <c r="D81" s="113">
        <f>VLOOKUP(D77,Tablas!$G:$H,2)</f>
        <v>0</v>
      </c>
      <c r="E81" s="113">
        <f>VLOOKUP(E77,Tablas!$G:$H,2)</f>
        <v>0</v>
      </c>
      <c r="F81" s="113">
        <f>VLOOKUP(F77,Tablas!$G:$H,2)</f>
        <v>9643</v>
      </c>
      <c r="G81" s="86">
        <f>SUM(B81:F81)</f>
        <v>29895</v>
      </c>
      <c r="H81" s="111"/>
      <c r="J81" s="112"/>
      <c r="K81" s="112"/>
      <c r="L81" s="112"/>
      <c r="M81" s="112"/>
      <c r="O81" s="107"/>
      <c r="P81" s="108"/>
      <c r="Q81" s="109"/>
    </row>
    <row r="83" spans="1:19" x14ac:dyDescent="0.2">
      <c r="F83" s="115" t="s">
        <v>81</v>
      </c>
      <c r="G83" s="86">
        <f>F42-G80-G81</f>
        <v>60499.205501894277</v>
      </c>
      <c r="H83" s="116">
        <f>VLOOKUP(MAX(0,G83),Tablas!$A$61:$D$70,4)</f>
        <v>0.12</v>
      </c>
    </row>
    <row r="84" spans="1:19" x14ac:dyDescent="0.2">
      <c r="F84" s="115" t="s">
        <v>80</v>
      </c>
      <c r="G84" s="86">
        <f>F53-G80-G81</f>
        <v>60499.205501894277</v>
      </c>
    </row>
    <row r="85" spans="1:19" x14ac:dyDescent="0.2">
      <c r="F85" s="115" t="s">
        <v>79</v>
      </c>
      <c r="G85" s="86">
        <f>MAX(0,MIN(SUM($B48:F48)-SUM($B50:F50),G84)*H83+VLOOKUP(G83,Tablas!$A$61:$D$70,3)+(G83-VLOOKUP(G83,Tablas!$A$61:$D$70,1))*VLOOKUP(G83,Tablas!$A$61:$D$70,4))</f>
        <v>4571.0445352273136</v>
      </c>
    </row>
    <row r="87" spans="1:19" s="2" customFormat="1" x14ac:dyDescent="0.2">
      <c r="A87" s="4"/>
      <c r="B87" s="5"/>
      <c r="C87" s="5"/>
      <c r="D87" s="5"/>
      <c r="E87" s="5"/>
      <c r="F87" s="115" t="s">
        <v>82</v>
      </c>
      <c r="G87" s="86">
        <f>F54-G85</f>
        <v>12724.0233092702</v>
      </c>
      <c r="I87" s="5"/>
      <c r="J87" s="13"/>
      <c r="K87" s="13"/>
      <c r="L87" s="13"/>
      <c r="M87" s="13"/>
      <c r="N87" s="5"/>
      <c r="O87" s="5"/>
      <c r="P87" s="5"/>
      <c r="Q87" s="5"/>
      <c r="R87" s="5"/>
      <c r="S87" s="5"/>
    </row>
  </sheetData>
  <conditionalFormatting sqref="A63 E63:J63">
    <cfRule type="cellIs" dxfId="2" priority="3" stopIfTrue="1" operator="equal">
      <formula>"x"</formula>
    </cfRule>
  </conditionalFormatting>
  <conditionalFormatting sqref="K63:M63">
    <cfRule type="cellIs" dxfId="1" priority="2" stopIfTrue="1" operator="equal">
      <formula>"x"</formula>
    </cfRule>
  </conditionalFormatting>
  <conditionalFormatting sqref="B63:D63">
    <cfRule type="cellIs" dxfId="0" priority="1" stopIfTrue="1" operator="equal">
      <formula>"x"</formula>
    </cfRule>
  </conditionalFormatting>
  <pageMargins left="0.19685039370078741" right="0.19685039370078741" top="0.74803149606299213" bottom="0.74803149606299213" header="0.31496062992125984" footer="0.31496062992125984"/>
  <pageSetup paperSize="9" scale="91" orientation="landscape" r:id="rId1"/>
  <headerFooter>
    <oddHeader>&amp;L&amp;F&amp;C&amp;A&amp;R&amp;D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0668-9B6B-447D-9F2C-5FDCD4846BD4}">
  <dimension ref="B5:I22"/>
  <sheetViews>
    <sheetView workbookViewId="0">
      <selection activeCell="E24" sqref="E24"/>
    </sheetView>
  </sheetViews>
  <sheetFormatPr baseColWidth="10" defaultRowHeight="15" x14ac:dyDescent="0.25"/>
  <cols>
    <col min="1" max="2" width="11.42578125" style="125"/>
    <col min="3" max="3" width="9.5703125" style="125" customWidth="1"/>
    <col min="4" max="7" width="11.42578125" style="125"/>
    <col min="8" max="8" width="22.85546875" style="125" customWidth="1"/>
    <col min="9" max="9" width="17.28515625" style="125" customWidth="1"/>
    <col min="10" max="16384" width="11.42578125" style="125"/>
  </cols>
  <sheetData>
    <row r="5" spans="2:9" ht="18.75" x14ac:dyDescent="0.3">
      <c r="C5" s="136" t="s">
        <v>92</v>
      </c>
      <c r="D5" s="126"/>
      <c r="E5" s="126"/>
      <c r="F5" s="126"/>
      <c r="G5" s="126"/>
      <c r="H5" s="126"/>
      <c r="I5" s="126"/>
    </row>
    <row r="6" spans="2:9" x14ac:dyDescent="0.25">
      <c r="C6" s="126"/>
      <c r="D6" s="126"/>
      <c r="E6" s="126"/>
      <c r="F6" s="126"/>
      <c r="G6" s="126"/>
      <c r="H6" s="126"/>
      <c r="I6" s="126"/>
    </row>
    <row r="7" spans="2:9" x14ac:dyDescent="0.25">
      <c r="C7" s="128"/>
      <c r="D7" s="128"/>
      <c r="E7" s="128"/>
      <c r="F7" s="128"/>
      <c r="G7" s="128"/>
      <c r="H7" s="128"/>
      <c r="I7" s="128"/>
    </row>
    <row r="8" spans="2:9" x14ac:dyDescent="0.25">
      <c r="C8" s="128"/>
      <c r="D8" s="137" t="s">
        <v>93</v>
      </c>
      <c r="E8" s="137"/>
      <c r="F8" s="137"/>
      <c r="G8" s="137"/>
      <c r="H8" s="137"/>
      <c r="I8" s="129"/>
    </row>
    <row r="9" spans="2:9" x14ac:dyDescent="0.25">
      <c r="C9" s="128"/>
      <c r="D9" s="137"/>
      <c r="E9" s="137"/>
      <c r="F9" s="137"/>
      <c r="G9" s="137"/>
      <c r="H9" s="137"/>
      <c r="I9" s="129"/>
    </row>
    <row r="10" spans="2:9" x14ac:dyDescent="0.25">
      <c r="C10" s="128"/>
      <c r="D10" s="137"/>
      <c r="E10" s="137"/>
      <c r="F10" s="137"/>
      <c r="G10" s="137"/>
      <c r="H10" s="137"/>
      <c r="I10" s="129"/>
    </row>
    <row r="11" spans="2:9" x14ac:dyDescent="0.25">
      <c r="C11" s="128"/>
      <c r="D11" s="137" t="s">
        <v>89</v>
      </c>
      <c r="E11" s="137"/>
      <c r="F11" s="137"/>
      <c r="G11" s="137"/>
      <c r="H11" s="137"/>
      <c r="I11" s="129"/>
    </row>
    <row r="12" spans="2:9" x14ac:dyDescent="0.25">
      <c r="C12" s="128"/>
      <c r="D12" s="137"/>
      <c r="E12" s="137"/>
      <c r="F12" s="137"/>
      <c r="G12" s="137"/>
      <c r="H12" s="137"/>
      <c r="I12" s="129"/>
    </row>
    <row r="13" spans="2:9" x14ac:dyDescent="0.25">
      <c r="C13" s="128"/>
      <c r="D13" s="137"/>
      <c r="E13" s="137"/>
      <c r="F13" s="137"/>
      <c r="G13" s="137"/>
      <c r="H13" s="137"/>
      <c r="I13" s="129"/>
    </row>
    <row r="14" spans="2:9" x14ac:dyDescent="0.25">
      <c r="C14" s="128"/>
      <c r="D14" s="137"/>
      <c r="E14" s="137"/>
      <c r="F14" s="137"/>
      <c r="G14" s="137"/>
      <c r="H14" s="137"/>
      <c r="I14" s="129"/>
    </row>
    <row r="15" spans="2:9" x14ac:dyDescent="0.25">
      <c r="C15" s="128"/>
      <c r="D15" s="137"/>
      <c r="E15" s="137"/>
      <c r="F15" s="137"/>
      <c r="G15" s="137"/>
      <c r="H15" s="137"/>
      <c r="I15" s="129"/>
    </row>
    <row r="16" spans="2:9" x14ac:dyDescent="0.25">
      <c r="B16" s="127"/>
      <c r="C16" s="130"/>
      <c r="D16" s="131" t="s">
        <v>90</v>
      </c>
      <c r="E16" s="132"/>
      <c r="F16" s="133"/>
      <c r="G16" s="133"/>
      <c r="H16" s="133"/>
      <c r="I16" s="133"/>
    </row>
    <row r="17" spans="2:9" x14ac:dyDescent="0.25">
      <c r="B17" s="127"/>
      <c r="C17" s="130"/>
      <c r="D17" s="134" t="s">
        <v>94</v>
      </c>
      <c r="E17" s="133"/>
      <c r="F17" s="133"/>
      <c r="G17" s="133"/>
      <c r="H17" s="133"/>
      <c r="I17" s="133"/>
    </row>
    <row r="18" spans="2:9" x14ac:dyDescent="0.25">
      <c r="B18" s="127"/>
      <c r="C18" s="130"/>
      <c r="D18" s="134" t="s">
        <v>91</v>
      </c>
      <c r="E18" s="133"/>
      <c r="F18" s="133"/>
      <c r="G18" s="135"/>
      <c r="H18" s="133"/>
      <c r="I18" s="133"/>
    </row>
    <row r="19" spans="2:9" x14ac:dyDescent="0.25">
      <c r="B19" s="127"/>
      <c r="C19" s="130"/>
      <c r="D19" s="130"/>
      <c r="E19" s="130"/>
      <c r="F19" s="130"/>
      <c r="G19" s="130"/>
      <c r="H19" s="130"/>
      <c r="I19" s="130"/>
    </row>
    <row r="20" spans="2:9" x14ac:dyDescent="0.25">
      <c r="B20" s="127"/>
      <c r="C20" s="127"/>
      <c r="D20" s="127"/>
      <c r="E20" s="127"/>
      <c r="F20" s="127"/>
      <c r="G20" s="127"/>
      <c r="H20" s="127"/>
      <c r="I20" s="127"/>
    </row>
    <row r="21" spans="2:9" x14ac:dyDescent="0.25">
      <c r="B21" s="127"/>
      <c r="C21" s="127"/>
      <c r="D21" s="127"/>
      <c r="E21" s="127"/>
      <c r="F21" s="127"/>
      <c r="G21" s="127"/>
      <c r="H21" s="127"/>
      <c r="I21" s="127"/>
    </row>
    <row r="22" spans="2:9" x14ac:dyDescent="0.25">
      <c r="B22" s="127"/>
      <c r="C22" s="127"/>
      <c r="D22" s="127"/>
      <c r="E22" s="127"/>
      <c r="F22" s="127"/>
      <c r="G22" s="127"/>
      <c r="H22" s="127"/>
      <c r="I22" s="127"/>
    </row>
  </sheetData>
  <mergeCells count="2">
    <mergeCell ref="D8:H10"/>
    <mergeCell ref="D11:H15"/>
  </mergeCells>
  <hyperlinks>
    <hyperlink ref="D18:G18" r:id="rId1" display="Publicado por www.ignacioonline.com.ar" xr:uid="{68E1F6DD-30A0-4C1A-9D19-0C5C27E1EF33}"/>
    <hyperlink ref="D17" r:id="rId2" display="Autor: Santiago Vazquez" xr:uid="{45CC7D03-CD3A-4978-8325-F6739F34BB2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3"/>
  <sheetViews>
    <sheetView workbookViewId="0">
      <selection activeCell="A9" sqref="A9"/>
    </sheetView>
  </sheetViews>
  <sheetFormatPr baseColWidth="10" defaultColWidth="11.42578125" defaultRowHeight="15" x14ac:dyDescent="0.25"/>
  <cols>
    <col min="1" max="1" width="13.5703125" style="4" bestFit="1" customWidth="1"/>
    <col min="2" max="2" width="15.140625" style="4" bestFit="1" customWidth="1"/>
    <col min="3" max="3" width="11.7109375" style="4" bestFit="1" customWidth="1"/>
    <col min="4" max="4" width="11.42578125" style="5"/>
    <col min="5" max="5" width="15" style="4" customWidth="1"/>
    <col min="6" max="6" width="11.42578125" style="5"/>
    <col min="7" max="7" width="14.42578125" customWidth="1"/>
    <col min="8" max="8" width="13.42578125" customWidth="1"/>
    <col min="9" max="9" width="10.28515625" style="99"/>
    <col min="10" max="10" width="14.42578125" customWidth="1"/>
    <col min="11" max="11" width="13.42578125" customWidth="1"/>
    <col min="12" max="16384" width="11.42578125" style="5"/>
  </cols>
  <sheetData>
    <row r="1" spans="1:11" ht="11.25" x14ac:dyDescent="0.2">
      <c r="A1" s="81">
        <v>-99999999</v>
      </c>
      <c r="B1" s="81">
        <v>0</v>
      </c>
      <c r="C1" s="81">
        <v>0</v>
      </c>
      <c r="D1" s="1">
        <v>0</v>
      </c>
      <c r="E1" s="81">
        <v>0</v>
      </c>
      <c r="G1" s="98" t="s">
        <v>70</v>
      </c>
      <c r="H1" s="98" t="s">
        <v>71</v>
      </c>
      <c r="J1" s="98" t="s">
        <v>70</v>
      </c>
      <c r="K1" s="98" t="s">
        <v>71</v>
      </c>
    </row>
    <row r="2" spans="1:11" ht="11.25" x14ac:dyDescent="0.2">
      <c r="A2" s="82">
        <v>0</v>
      </c>
      <c r="B2" s="82">
        <v>64532.639999999999</v>
      </c>
      <c r="C2" s="81">
        <v>0</v>
      </c>
      <c r="D2" s="1">
        <v>0.05</v>
      </c>
      <c r="E2" s="81">
        <f t="shared" ref="E2:E4" si="0">A2</f>
        <v>0</v>
      </c>
      <c r="G2" s="100">
        <v>0</v>
      </c>
      <c r="H2" s="100">
        <v>0</v>
      </c>
      <c r="J2" s="100">
        <v>0</v>
      </c>
      <c r="K2" s="100">
        <v>0</v>
      </c>
    </row>
    <row r="3" spans="1:11" ht="11.25" x14ac:dyDescent="0.2">
      <c r="A3" s="82">
        <f>B2</f>
        <v>64532.639999999999</v>
      </c>
      <c r="B3" s="82">
        <v>129065.29</v>
      </c>
      <c r="C3" s="81">
        <f t="shared" ref="C3:C4" si="1">(B2-A2)*D2+C2</f>
        <v>3226.6320000000001</v>
      </c>
      <c r="D3" s="1">
        <v>0.09</v>
      </c>
      <c r="E3" s="81">
        <f t="shared" si="0"/>
        <v>64532.639999999999</v>
      </c>
      <c r="F3" s="60"/>
      <c r="G3" s="101">
        <v>150000</v>
      </c>
      <c r="H3" s="101">
        <v>42979</v>
      </c>
      <c r="J3" s="101">
        <v>175000</v>
      </c>
      <c r="K3" s="101">
        <v>63608</v>
      </c>
    </row>
    <row r="4" spans="1:11" ht="11.25" x14ac:dyDescent="0.2">
      <c r="A4" s="82">
        <f t="shared" ref="A4:A10" si="2">B3</f>
        <v>129065.29</v>
      </c>
      <c r="B4" s="82">
        <v>193597.93</v>
      </c>
      <c r="C4" s="81">
        <f t="shared" si="1"/>
        <v>9034.5704999999998</v>
      </c>
      <c r="D4" s="1">
        <v>0.12</v>
      </c>
      <c r="E4" s="81">
        <f t="shared" si="0"/>
        <v>129065.29</v>
      </c>
      <c r="F4" s="60"/>
      <c r="G4" s="101">
        <v>150100</v>
      </c>
      <c r="H4" s="101">
        <v>42609</v>
      </c>
      <c r="J4" s="101">
        <v>175100</v>
      </c>
      <c r="K4" s="101">
        <v>63143</v>
      </c>
    </row>
    <row r="5" spans="1:11" ht="11.25" x14ac:dyDescent="0.2">
      <c r="A5" s="82">
        <f t="shared" si="2"/>
        <v>193597.93</v>
      </c>
      <c r="B5" s="82">
        <v>258130.58</v>
      </c>
      <c r="C5" s="81">
        <f t="shared" ref="C5:C10" si="3">(B4-A4)*D4+C4</f>
        <v>16778.487300000001</v>
      </c>
      <c r="D5" s="1">
        <v>0.15</v>
      </c>
      <c r="E5" s="81">
        <f t="shared" ref="E5:E10" si="4">A5</f>
        <v>193597.93</v>
      </c>
      <c r="F5" s="60"/>
      <c r="G5" s="101">
        <v>150200</v>
      </c>
      <c r="H5" s="101">
        <v>42270</v>
      </c>
      <c r="J5" s="101">
        <v>175200</v>
      </c>
      <c r="K5" s="101">
        <v>62718</v>
      </c>
    </row>
    <row r="6" spans="1:11" ht="11.25" x14ac:dyDescent="0.2">
      <c r="A6" s="82">
        <f t="shared" si="2"/>
        <v>258130.58</v>
      </c>
      <c r="B6" s="82">
        <v>387195.86</v>
      </c>
      <c r="C6" s="81">
        <f t="shared" si="3"/>
        <v>26458.3848</v>
      </c>
      <c r="D6" s="1">
        <v>0.19</v>
      </c>
      <c r="E6" s="81">
        <f t="shared" si="4"/>
        <v>258130.58</v>
      </c>
      <c r="F6" s="60"/>
      <c r="G6" s="101">
        <v>150300</v>
      </c>
      <c r="H6" s="101">
        <v>41950</v>
      </c>
      <c r="J6" s="101">
        <v>175300</v>
      </c>
      <c r="K6" s="101">
        <v>62317</v>
      </c>
    </row>
    <row r="7" spans="1:11" ht="11.25" x14ac:dyDescent="0.2">
      <c r="A7" s="82">
        <f t="shared" si="2"/>
        <v>387195.86</v>
      </c>
      <c r="B7" s="82">
        <v>516261.14</v>
      </c>
      <c r="C7" s="81">
        <f t="shared" si="3"/>
        <v>50980.788</v>
      </c>
      <c r="D7" s="1">
        <v>0.23</v>
      </c>
      <c r="E7" s="81">
        <f t="shared" si="4"/>
        <v>387195.86</v>
      </c>
      <c r="F7" s="60"/>
      <c r="G7" s="101">
        <v>150400</v>
      </c>
      <c r="H7" s="101">
        <v>41644</v>
      </c>
      <c r="J7" s="101">
        <v>175400</v>
      </c>
      <c r="K7" s="101">
        <v>61933</v>
      </c>
    </row>
    <row r="8" spans="1:11" ht="11.25" x14ac:dyDescent="0.2">
      <c r="A8" s="82">
        <f t="shared" si="2"/>
        <v>516261.14</v>
      </c>
      <c r="B8" s="82">
        <v>774391.71</v>
      </c>
      <c r="C8" s="81">
        <f t="shared" si="3"/>
        <v>80665.802400000015</v>
      </c>
      <c r="D8" s="1">
        <v>0.27</v>
      </c>
      <c r="E8" s="81">
        <f t="shared" si="4"/>
        <v>516261.14</v>
      </c>
      <c r="F8" s="60"/>
      <c r="G8" s="101">
        <v>150500</v>
      </c>
      <c r="H8" s="101">
        <v>41348</v>
      </c>
      <c r="J8" s="101">
        <v>175500</v>
      </c>
      <c r="K8" s="101">
        <v>61561</v>
      </c>
    </row>
    <row r="9" spans="1:11" ht="11.25" x14ac:dyDescent="0.2">
      <c r="A9" s="82">
        <f t="shared" si="2"/>
        <v>774391.71</v>
      </c>
      <c r="B9" s="82">
        <v>1032522.3</v>
      </c>
      <c r="C9" s="81">
        <f>(B8-A8)*D8+C8</f>
        <v>150361.0563</v>
      </c>
      <c r="D9" s="1">
        <v>0.31</v>
      </c>
      <c r="E9" s="81">
        <f t="shared" si="4"/>
        <v>774391.71</v>
      </c>
      <c r="F9" s="60"/>
      <c r="G9" s="101">
        <v>150600</v>
      </c>
      <c r="H9" s="101">
        <v>41061</v>
      </c>
      <c r="J9" s="101">
        <v>175600</v>
      </c>
      <c r="K9" s="101">
        <v>61200</v>
      </c>
    </row>
    <row r="10" spans="1:11" ht="11.25" x14ac:dyDescent="0.2">
      <c r="A10" s="82">
        <f t="shared" si="2"/>
        <v>1032522.3</v>
      </c>
      <c r="B10" s="82">
        <v>9999999999</v>
      </c>
      <c r="C10" s="81">
        <f t="shared" si="3"/>
        <v>230381.53920000003</v>
      </c>
      <c r="D10" s="1">
        <v>0.35</v>
      </c>
      <c r="E10" s="81">
        <f t="shared" si="4"/>
        <v>1032522.3</v>
      </c>
      <c r="F10" s="60"/>
      <c r="G10" s="101">
        <v>150700</v>
      </c>
      <c r="H10" s="101">
        <v>40780</v>
      </c>
      <c r="J10" s="101">
        <v>175700</v>
      </c>
      <c r="K10" s="101">
        <v>60848</v>
      </c>
    </row>
    <row r="11" spans="1:11" ht="11.25" x14ac:dyDescent="0.2">
      <c r="B11" s="83"/>
      <c r="G11" s="101">
        <v>150800</v>
      </c>
      <c r="H11" s="101">
        <v>40505</v>
      </c>
      <c r="J11" s="101">
        <v>175800</v>
      </c>
      <c r="K11" s="101">
        <v>60503</v>
      </c>
    </row>
    <row r="12" spans="1:11" ht="11.25" x14ac:dyDescent="0.2">
      <c r="A12" s="92">
        <v>44197</v>
      </c>
      <c r="G12" s="101">
        <v>150900</v>
      </c>
      <c r="H12" s="101">
        <v>40236</v>
      </c>
      <c r="J12" s="101">
        <v>175900</v>
      </c>
      <c r="K12" s="101">
        <v>60165</v>
      </c>
    </row>
    <row r="13" spans="1:11" ht="11.25" x14ac:dyDescent="0.2">
      <c r="A13" s="81">
        <f>A1/12*MONTH($A$12)</f>
        <v>-8333333.25</v>
      </c>
      <c r="B13" s="81">
        <f>B1/12*MONTH($A$12)</f>
        <v>0</v>
      </c>
      <c r="C13" s="81">
        <f>C1/12*MONTH($A$12)</f>
        <v>0</v>
      </c>
      <c r="D13" s="1">
        <f>$D$1</f>
        <v>0</v>
      </c>
      <c r="E13" s="81">
        <f>E1/12*MONTH($A$12)</f>
        <v>0</v>
      </c>
      <c r="G13" s="101">
        <v>151000</v>
      </c>
      <c r="H13" s="101">
        <v>39971</v>
      </c>
      <c r="J13" s="101">
        <v>176000</v>
      </c>
      <c r="K13" s="101">
        <v>59832</v>
      </c>
    </row>
    <row r="14" spans="1:11" ht="11.25" x14ac:dyDescent="0.2">
      <c r="A14" s="81">
        <f t="shared" ref="A14:C14" si="5">A2/12*MONTH($A$12)</f>
        <v>0</v>
      </c>
      <c r="B14" s="81">
        <f t="shared" si="5"/>
        <v>5377.72</v>
      </c>
      <c r="C14" s="81">
        <f t="shared" si="5"/>
        <v>0</v>
      </c>
      <c r="D14" s="1">
        <f>$D$2</f>
        <v>0.05</v>
      </c>
      <c r="E14" s="81">
        <f t="shared" ref="E14:E22" si="6">E2/12*MONTH($A$12)</f>
        <v>0</v>
      </c>
      <c r="G14" s="101">
        <v>151100</v>
      </c>
      <c r="H14" s="101">
        <v>39710</v>
      </c>
      <c r="J14" s="101">
        <v>176100</v>
      </c>
      <c r="K14" s="101">
        <v>59505</v>
      </c>
    </row>
    <row r="15" spans="1:11" ht="11.25" x14ac:dyDescent="0.2">
      <c r="A15" s="81">
        <f t="shared" ref="A15:C15" si="7">A3/12*MONTH($A$12)</f>
        <v>5377.72</v>
      </c>
      <c r="B15" s="81">
        <f t="shared" si="7"/>
        <v>10755.440833333332</v>
      </c>
      <c r="C15" s="81">
        <f t="shared" si="7"/>
        <v>268.88600000000002</v>
      </c>
      <c r="D15" s="1">
        <f>$D$3</f>
        <v>0.09</v>
      </c>
      <c r="E15" s="81">
        <f t="shared" si="6"/>
        <v>5377.72</v>
      </c>
      <c r="G15" s="101">
        <v>151200</v>
      </c>
      <c r="H15" s="101">
        <v>39452</v>
      </c>
      <c r="J15" s="101">
        <v>176200</v>
      </c>
      <c r="K15" s="101">
        <v>59182</v>
      </c>
    </row>
    <row r="16" spans="1:11" ht="11.25" x14ac:dyDescent="0.2">
      <c r="A16" s="81">
        <f t="shared" ref="A16:C16" si="8">A4/12*MONTH($A$12)</f>
        <v>10755.440833333332</v>
      </c>
      <c r="B16" s="81">
        <f t="shared" si="8"/>
        <v>16133.160833333333</v>
      </c>
      <c r="C16" s="81">
        <f t="shared" si="8"/>
        <v>752.88087499999995</v>
      </c>
      <c r="D16" s="1">
        <f>$D$4</f>
        <v>0.12</v>
      </c>
      <c r="E16" s="81">
        <f t="shared" si="6"/>
        <v>10755.440833333332</v>
      </c>
      <c r="G16" s="101">
        <v>151300</v>
      </c>
      <c r="H16" s="101">
        <v>39199</v>
      </c>
      <c r="J16" s="101">
        <v>176300</v>
      </c>
      <c r="K16" s="101">
        <v>58863</v>
      </c>
    </row>
    <row r="17" spans="1:11" ht="11.25" x14ac:dyDescent="0.2">
      <c r="A17" s="81">
        <f t="shared" ref="A17:C17" si="9">A5/12*MONTH($A$12)</f>
        <v>16133.160833333333</v>
      </c>
      <c r="B17" s="81">
        <f t="shared" si="9"/>
        <v>21510.881666666664</v>
      </c>
      <c r="C17" s="81">
        <f t="shared" si="9"/>
        <v>1398.207275</v>
      </c>
      <c r="D17" s="1">
        <f>$D$5</f>
        <v>0.15</v>
      </c>
      <c r="E17" s="81">
        <f t="shared" si="6"/>
        <v>16133.160833333333</v>
      </c>
      <c r="G17" s="101">
        <v>151400</v>
      </c>
      <c r="H17" s="101">
        <v>38948</v>
      </c>
      <c r="J17" s="101">
        <v>176400</v>
      </c>
      <c r="K17" s="101">
        <v>58548</v>
      </c>
    </row>
    <row r="18" spans="1:11" ht="11.25" x14ac:dyDescent="0.2">
      <c r="A18" s="81">
        <f t="shared" ref="A18:C18" si="10">A6/12*MONTH($A$12)</f>
        <v>21510.881666666664</v>
      </c>
      <c r="B18" s="81">
        <f t="shared" si="10"/>
        <v>32266.321666666667</v>
      </c>
      <c r="C18" s="81">
        <f t="shared" si="10"/>
        <v>2204.8654000000001</v>
      </c>
      <c r="D18" s="1">
        <f>$D$6</f>
        <v>0.19</v>
      </c>
      <c r="E18" s="81">
        <f t="shared" si="6"/>
        <v>21510.881666666664</v>
      </c>
      <c r="G18" s="101">
        <v>151500</v>
      </c>
      <c r="H18" s="101">
        <v>38700</v>
      </c>
      <c r="J18" s="101">
        <v>176500</v>
      </c>
      <c r="K18" s="101">
        <v>58237</v>
      </c>
    </row>
    <row r="19" spans="1:11" ht="11.25" x14ac:dyDescent="0.2">
      <c r="A19" s="81">
        <f t="shared" ref="A19:C19" si="11">A7/12*MONTH($A$12)</f>
        <v>32266.321666666667</v>
      </c>
      <c r="B19" s="81">
        <f t="shared" si="11"/>
        <v>43021.761666666665</v>
      </c>
      <c r="C19" s="81">
        <f t="shared" si="11"/>
        <v>4248.3990000000003</v>
      </c>
      <c r="D19" s="1">
        <f>$D$7</f>
        <v>0.23</v>
      </c>
      <c r="E19" s="81">
        <f t="shared" si="6"/>
        <v>32266.321666666667</v>
      </c>
      <c r="G19" s="101">
        <v>151600</v>
      </c>
      <c r="H19" s="101">
        <v>38454</v>
      </c>
      <c r="J19" s="101">
        <v>176600</v>
      </c>
      <c r="K19" s="101">
        <v>57929</v>
      </c>
    </row>
    <row r="20" spans="1:11" ht="11.25" x14ac:dyDescent="0.2">
      <c r="A20" s="81">
        <f t="shared" ref="A20:C20" si="12">A8/12*MONTH($A$12)</f>
        <v>43021.761666666665</v>
      </c>
      <c r="B20" s="81">
        <f t="shared" si="12"/>
        <v>64532.642499999994</v>
      </c>
      <c r="C20" s="81">
        <f t="shared" si="12"/>
        <v>6722.150200000001</v>
      </c>
      <c r="D20" s="1">
        <f>$D$8</f>
        <v>0.27</v>
      </c>
      <c r="E20" s="81">
        <f t="shared" si="6"/>
        <v>43021.761666666665</v>
      </c>
      <c r="G20" s="101">
        <v>151700</v>
      </c>
      <c r="H20" s="101">
        <v>38211</v>
      </c>
      <c r="J20" s="101">
        <v>176700</v>
      </c>
      <c r="K20" s="101">
        <v>57624</v>
      </c>
    </row>
    <row r="21" spans="1:11" ht="11.25" x14ac:dyDescent="0.2">
      <c r="A21" s="81">
        <f t="shared" ref="A21:C21" si="13">A9/12*MONTH($A$12)</f>
        <v>64532.642499999994</v>
      </c>
      <c r="B21" s="81">
        <f t="shared" si="13"/>
        <v>86043.525000000009</v>
      </c>
      <c r="C21" s="81">
        <f t="shared" si="13"/>
        <v>12530.088024999999</v>
      </c>
      <c r="D21" s="1">
        <f>$D$9</f>
        <v>0.31</v>
      </c>
      <c r="E21" s="81">
        <f t="shared" si="6"/>
        <v>64532.642499999994</v>
      </c>
      <c r="G21" s="101">
        <v>151800</v>
      </c>
      <c r="H21" s="101">
        <v>37970</v>
      </c>
      <c r="J21" s="101">
        <v>176800</v>
      </c>
      <c r="K21" s="101">
        <v>57322</v>
      </c>
    </row>
    <row r="22" spans="1:11" ht="11.25" x14ac:dyDescent="0.2">
      <c r="A22" s="81">
        <f t="shared" ref="A22:C22" si="14">A10/12*MONTH($A$12)</f>
        <v>86043.525000000009</v>
      </c>
      <c r="B22" s="81">
        <f t="shared" si="14"/>
        <v>833333333.25</v>
      </c>
      <c r="C22" s="81">
        <f t="shared" si="14"/>
        <v>19198.461600000002</v>
      </c>
      <c r="D22" s="1">
        <f>$D$10</f>
        <v>0.35</v>
      </c>
      <c r="E22" s="81">
        <f t="shared" si="6"/>
        <v>86043.525000000009</v>
      </c>
      <c r="G22" s="101">
        <v>151900</v>
      </c>
      <c r="H22" s="101">
        <v>37732</v>
      </c>
      <c r="J22" s="101">
        <v>176900</v>
      </c>
      <c r="K22" s="101">
        <v>57023</v>
      </c>
    </row>
    <row r="23" spans="1:11" ht="11.25" x14ac:dyDescent="0.2">
      <c r="G23" s="101">
        <v>152000</v>
      </c>
      <c r="H23" s="101">
        <v>37495</v>
      </c>
      <c r="J23" s="101">
        <v>177000</v>
      </c>
      <c r="K23" s="101">
        <v>56726</v>
      </c>
    </row>
    <row r="24" spans="1:11" ht="11.25" x14ac:dyDescent="0.2">
      <c r="A24" s="92">
        <v>44228</v>
      </c>
      <c r="G24" s="101">
        <v>152100</v>
      </c>
      <c r="H24" s="101">
        <v>37261</v>
      </c>
      <c r="J24" s="101">
        <v>177100</v>
      </c>
      <c r="K24" s="101">
        <v>56431</v>
      </c>
    </row>
    <row r="25" spans="1:11" ht="11.25" x14ac:dyDescent="0.2">
      <c r="A25" s="81">
        <f>A1/12*MONTH($A$24)</f>
        <v>-16666666.5</v>
      </c>
      <c r="B25" s="81">
        <f>B1/12*MONTH($A$24)</f>
        <v>0</v>
      </c>
      <c r="C25" s="81">
        <f>C1/12*MONTH($A$24)</f>
        <v>0</v>
      </c>
      <c r="D25" s="1">
        <f>$D$1</f>
        <v>0</v>
      </c>
      <c r="E25" s="81">
        <f>E1/12*MONTH($A$24)</f>
        <v>0</v>
      </c>
      <c r="G25" s="101">
        <v>152200</v>
      </c>
      <c r="H25" s="101">
        <v>37028</v>
      </c>
      <c r="J25" s="101">
        <v>177200</v>
      </c>
      <c r="K25" s="101">
        <v>56139</v>
      </c>
    </row>
    <row r="26" spans="1:11" ht="11.25" x14ac:dyDescent="0.2">
      <c r="A26" s="81">
        <f t="shared" ref="A26:C26" si="15">A2/12*MONTH($A$24)</f>
        <v>0</v>
      </c>
      <c r="B26" s="81">
        <f t="shared" si="15"/>
        <v>10755.44</v>
      </c>
      <c r="C26" s="81">
        <f t="shared" si="15"/>
        <v>0</v>
      </c>
      <c r="D26" s="1">
        <f>$D$2</f>
        <v>0.05</v>
      </c>
      <c r="E26" s="81">
        <f t="shared" ref="E26:E34" si="16">E2/12*MONTH($A$24)</f>
        <v>0</v>
      </c>
      <c r="G26" s="101">
        <v>152300</v>
      </c>
      <c r="H26" s="101">
        <v>36797</v>
      </c>
      <c r="J26" s="101">
        <v>177300</v>
      </c>
      <c r="K26" s="101">
        <v>55849</v>
      </c>
    </row>
    <row r="27" spans="1:11" ht="11.25" x14ac:dyDescent="0.2">
      <c r="A27" s="81">
        <f t="shared" ref="A27:C27" si="17">A3/12*MONTH($A$24)</f>
        <v>10755.44</v>
      </c>
      <c r="B27" s="81">
        <f t="shared" si="17"/>
        <v>21510.881666666664</v>
      </c>
      <c r="C27" s="81">
        <f t="shared" si="17"/>
        <v>537.77200000000005</v>
      </c>
      <c r="D27" s="1">
        <f>$D$3</f>
        <v>0.09</v>
      </c>
      <c r="E27" s="81">
        <f t="shared" si="16"/>
        <v>10755.44</v>
      </c>
      <c r="G27" s="101">
        <v>152400</v>
      </c>
      <c r="H27" s="101">
        <v>36567</v>
      </c>
      <c r="J27" s="101">
        <v>177400</v>
      </c>
      <c r="K27" s="101">
        <v>55561</v>
      </c>
    </row>
    <row r="28" spans="1:11" ht="11.25" x14ac:dyDescent="0.2">
      <c r="A28" s="81">
        <f t="shared" ref="A28:C28" si="18">A4/12*MONTH($A$24)</f>
        <v>21510.881666666664</v>
      </c>
      <c r="B28" s="81">
        <f t="shared" si="18"/>
        <v>32266.321666666667</v>
      </c>
      <c r="C28" s="81">
        <f t="shared" si="18"/>
        <v>1505.7617499999999</v>
      </c>
      <c r="D28" s="1">
        <f>$D$4</f>
        <v>0.12</v>
      </c>
      <c r="E28" s="81">
        <f t="shared" si="16"/>
        <v>21510.881666666664</v>
      </c>
      <c r="G28" s="101">
        <v>152500</v>
      </c>
      <c r="H28" s="101">
        <v>36339</v>
      </c>
      <c r="J28" s="101">
        <v>177500</v>
      </c>
      <c r="K28" s="101">
        <v>55275</v>
      </c>
    </row>
    <row r="29" spans="1:11" ht="11.25" x14ac:dyDescent="0.2">
      <c r="A29" s="81">
        <f t="shared" ref="A29:C29" si="19">A5/12*MONTH($A$24)</f>
        <v>32266.321666666667</v>
      </c>
      <c r="B29" s="81">
        <f t="shared" si="19"/>
        <v>43021.763333333329</v>
      </c>
      <c r="C29" s="81">
        <f t="shared" si="19"/>
        <v>2796.41455</v>
      </c>
      <c r="D29" s="1">
        <f>$D$5</f>
        <v>0.15</v>
      </c>
      <c r="E29" s="81">
        <f t="shared" si="16"/>
        <v>32266.321666666667</v>
      </c>
      <c r="G29" s="101">
        <v>152600</v>
      </c>
      <c r="H29" s="101">
        <v>36113</v>
      </c>
      <c r="J29" s="101">
        <v>177600</v>
      </c>
      <c r="K29" s="101">
        <v>54991</v>
      </c>
    </row>
    <row r="30" spans="1:11" ht="11.25" x14ac:dyDescent="0.2">
      <c r="A30" s="81">
        <f t="shared" ref="A30:C30" si="20">A6/12*MONTH($A$24)</f>
        <v>43021.763333333329</v>
      </c>
      <c r="B30" s="81">
        <f t="shared" si="20"/>
        <v>64532.643333333333</v>
      </c>
      <c r="C30" s="81">
        <f t="shared" si="20"/>
        <v>4409.7308000000003</v>
      </c>
      <c r="D30" s="1">
        <f>$D$6</f>
        <v>0.19</v>
      </c>
      <c r="E30" s="81">
        <f t="shared" si="16"/>
        <v>43021.763333333329</v>
      </c>
      <c r="G30" s="101">
        <v>152700</v>
      </c>
      <c r="H30" s="101">
        <v>35888</v>
      </c>
      <c r="J30" s="101">
        <v>177700</v>
      </c>
      <c r="K30" s="101">
        <v>54709</v>
      </c>
    </row>
    <row r="31" spans="1:11" ht="11.25" x14ac:dyDescent="0.2">
      <c r="A31" s="81">
        <f t="shared" ref="A31:C31" si="21">A7/12*MONTH($A$24)</f>
        <v>64532.643333333333</v>
      </c>
      <c r="B31" s="81">
        <f t="shared" si="21"/>
        <v>86043.523333333331</v>
      </c>
      <c r="C31" s="81">
        <f t="shared" si="21"/>
        <v>8496.7980000000007</v>
      </c>
      <c r="D31" s="1">
        <f>$D$7</f>
        <v>0.23</v>
      </c>
      <c r="E31" s="81">
        <f t="shared" si="16"/>
        <v>64532.643333333333</v>
      </c>
      <c r="G31" s="101">
        <v>152800</v>
      </c>
      <c r="H31" s="101">
        <v>35664</v>
      </c>
      <c r="J31" s="101">
        <v>177800</v>
      </c>
      <c r="K31" s="101">
        <v>54428</v>
      </c>
    </row>
    <row r="32" spans="1:11" ht="11.25" x14ac:dyDescent="0.2">
      <c r="A32" s="81">
        <f t="shared" ref="A32:C32" si="22">A8/12*MONTH($A$24)</f>
        <v>86043.523333333331</v>
      </c>
      <c r="B32" s="81">
        <f t="shared" si="22"/>
        <v>129065.28499999999</v>
      </c>
      <c r="C32" s="81">
        <f t="shared" si="22"/>
        <v>13444.300400000002</v>
      </c>
      <c r="D32" s="1">
        <f>$D$8</f>
        <v>0.27</v>
      </c>
      <c r="E32" s="81">
        <f t="shared" si="16"/>
        <v>86043.523333333331</v>
      </c>
      <c r="G32" s="101">
        <v>152900</v>
      </c>
      <c r="H32" s="101">
        <v>35442</v>
      </c>
      <c r="J32" s="101">
        <v>177900</v>
      </c>
      <c r="K32" s="101">
        <v>54149</v>
      </c>
    </row>
    <row r="33" spans="1:11" ht="11.25" x14ac:dyDescent="0.2">
      <c r="A33" s="81">
        <f t="shared" ref="A33:C33" si="23">A9/12*MONTH($A$24)</f>
        <v>129065.28499999999</v>
      </c>
      <c r="B33" s="81">
        <f t="shared" si="23"/>
        <v>172087.05000000002</v>
      </c>
      <c r="C33" s="81">
        <f t="shared" si="23"/>
        <v>25060.176049999998</v>
      </c>
      <c r="D33" s="1">
        <f>$D$9</f>
        <v>0.31</v>
      </c>
      <c r="E33" s="81">
        <f t="shared" si="16"/>
        <v>129065.28499999999</v>
      </c>
      <c r="G33" s="101">
        <v>153000</v>
      </c>
      <c r="H33" s="101">
        <v>35221</v>
      </c>
      <c r="J33" s="101">
        <v>178000</v>
      </c>
      <c r="K33" s="101">
        <v>53872</v>
      </c>
    </row>
    <row r="34" spans="1:11" ht="11.25" x14ac:dyDescent="0.2">
      <c r="A34" s="81">
        <f t="shared" ref="A34:C34" si="24">A10/12*MONTH($A$24)</f>
        <v>172087.05000000002</v>
      </c>
      <c r="B34" s="81">
        <f t="shared" si="24"/>
        <v>1666666666.5</v>
      </c>
      <c r="C34" s="81">
        <f t="shared" si="24"/>
        <v>38396.923200000005</v>
      </c>
      <c r="D34" s="1">
        <f>$D$10</f>
        <v>0.35</v>
      </c>
      <c r="E34" s="81">
        <f t="shared" si="16"/>
        <v>172087.05000000002</v>
      </c>
      <c r="G34" s="101">
        <v>153100</v>
      </c>
      <c r="H34" s="101">
        <v>35001</v>
      </c>
      <c r="J34" s="101">
        <v>178100</v>
      </c>
      <c r="K34" s="101">
        <v>53596</v>
      </c>
    </row>
    <row r="35" spans="1:11" ht="11.25" x14ac:dyDescent="0.2">
      <c r="G35" s="101">
        <v>153200</v>
      </c>
      <c r="H35" s="101">
        <v>34782</v>
      </c>
      <c r="J35" s="101">
        <v>178200</v>
      </c>
      <c r="K35" s="101">
        <v>53321</v>
      </c>
    </row>
    <row r="36" spans="1:11" ht="11.25" x14ac:dyDescent="0.2">
      <c r="A36" s="92">
        <v>44256</v>
      </c>
      <c r="G36" s="101">
        <v>153300</v>
      </c>
      <c r="H36" s="101">
        <v>34565</v>
      </c>
      <c r="J36" s="101">
        <v>178300</v>
      </c>
      <c r="K36" s="101">
        <v>53048</v>
      </c>
    </row>
    <row r="37" spans="1:11" ht="11.25" x14ac:dyDescent="0.2">
      <c r="A37" s="81">
        <f>A1/12*MONTH($A$36)</f>
        <v>-24999999.75</v>
      </c>
      <c r="B37" s="81">
        <f>B1/12*MONTH($A$36)</f>
        <v>0</v>
      </c>
      <c r="C37" s="81">
        <f>C1/12*MONTH($A$36)</f>
        <v>0</v>
      </c>
      <c r="D37" s="1">
        <f>$D$1</f>
        <v>0</v>
      </c>
      <c r="E37" s="81">
        <f>E1/12*MONTH($A$36)</f>
        <v>0</v>
      </c>
      <c r="G37" s="101">
        <v>153400</v>
      </c>
      <c r="H37" s="101">
        <v>34348</v>
      </c>
      <c r="J37" s="101">
        <v>178400</v>
      </c>
      <c r="K37" s="101">
        <v>52776</v>
      </c>
    </row>
    <row r="38" spans="1:11" ht="11.25" x14ac:dyDescent="0.2">
      <c r="A38" s="81">
        <f t="shared" ref="A38:C38" si="25">A2/12*MONTH($A$36)</f>
        <v>0</v>
      </c>
      <c r="B38" s="81">
        <f t="shared" si="25"/>
        <v>16133.16</v>
      </c>
      <c r="C38" s="81">
        <f t="shared" si="25"/>
        <v>0</v>
      </c>
      <c r="D38" s="1">
        <f>$D$2</f>
        <v>0.05</v>
      </c>
      <c r="E38" s="81">
        <f t="shared" ref="E38:E46" si="26">E2/12*MONTH($A$36)</f>
        <v>0</v>
      </c>
      <c r="G38" s="101">
        <v>153500</v>
      </c>
      <c r="H38" s="101">
        <v>34133</v>
      </c>
      <c r="J38" s="101">
        <v>178500</v>
      </c>
      <c r="K38" s="101">
        <v>52506</v>
      </c>
    </row>
    <row r="39" spans="1:11" ht="11.25" x14ac:dyDescent="0.2">
      <c r="A39" s="81">
        <f t="shared" ref="A39:C39" si="27">A3/12*MONTH($A$36)</f>
        <v>16133.16</v>
      </c>
      <c r="B39" s="81">
        <f t="shared" si="27"/>
        <v>32266.322499999995</v>
      </c>
      <c r="C39" s="81">
        <f t="shared" si="27"/>
        <v>806.65800000000013</v>
      </c>
      <c r="D39" s="1">
        <f>$D$3</f>
        <v>0.09</v>
      </c>
      <c r="E39" s="81">
        <f t="shared" si="26"/>
        <v>16133.16</v>
      </c>
      <c r="G39" s="101">
        <v>153600</v>
      </c>
      <c r="H39" s="101">
        <v>33918</v>
      </c>
      <c r="J39" s="101">
        <v>178600</v>
      </c>
      <c r="K39" s="101">
        <v>52237</v>
      </c>
    </row>
    <row r="40" spans="1:11" ht="11.25" x14ac:dyDescent="0.2">
      <c r="A40" s="81">
        <f t="shared" ref="A40:C40" si="28">A4/12*MONTH($A$36)</f>
        <v>32266.322499999995</v>
      </c>
      <c r="B40" s="81">
        <f t="shared" si="28"/>
        <v>48399.482499999998</v>
      </c>
      <c r="C40" s="81">
        <f t="shared" si="28"/>
        <v>2258.642625</v>
      </c>
      <c r="D40" s="1">
        <f>$D$4</f>
        <v>0.12</v>
      </c>
      <c r="E40" s="81">
        <f t="shared" si="26"/>
        <v>32266.322499999995</v>
      </c>
      <c r="G40" s="101">
        <v>153700</v>
      </c>
      <c r="H40" s="101">
        <v>33705</v>
      </c>
      <c r="J40" s="101">
        <v>178700</v>
      </c>
      <c r="K40" s="101">
        <v>51969</v>
      </c>
    </row>
    <row r="41" spans="1:11" ht="11.25" x14ac:dyDescent="0.2">
      <c r="A41" s="81">
        <f t="shared" ref="A41:C41" si="29">A5/12*MONTH($A$36)</f>
        <v>48399.482499999998</v>
      </c>
      <c r="B41" s="81">
        <f t="shared" si="29"/>
        <v>64532.64499999999</v>
      </c>
      <c r="C41" s="81">
        <f t="shared" si="29"/>
        <v>4194.6218250000002</v>
      </c>
      <c r="D41" s="1">
        <f>$D$5</f>
        <v>0.15</v>
      </c>
      <c r="E41" s="81">
        <f t="shared" si="26"/>
        <v>48399.482499999998</v>
      </c>
      <c r="G41" s="101">
        <v>153800</v>
      </c>
      <c r="H41" s="101">
        <v>33492</v>
      </c>
      <c r="J41" s="101">
        <v>178800</v>
      </c>
      <c r="K41" s="101">
        <v>51702</v>
      </c>
    </row>
    <row r="42" spans="1:11" ht="11.25" x14ac:dyDescent="0.2">
      <c r="A42" s="81">
        <f t="shared" ref="A42:C42" si="30">A6/12*MONTH($A$36)</f>
        <v>64532.64499999999</v>
      </c>
      <c r="B42" s="81">
        <f t="shared" si="30"/>
        <v>96798.964999999997</v>
      </c>
      <c r="C42" s="81">
        <f t="shared" si="30"/>
        <v>6614.5962</v>
      </c>
      <c r="D42" s="1">
        <f>$D$6</f>
        <v>0.19</v>
      </c>
      <c r="E42" s="81">
        <f t="shared" si="26"/>
        <v>64532.64499999999</v>
      </c>
      <c r="G42" s="101">
        <v>153900</v>
      </c>
      <c r="H42" s="101">
        <v>33281</v>
      </c>
      <c r="J42" s="101">
        <v>178900</v>
      </c>
      <c r="K42" s="101">
        <v>51437</v>
      </c>
    </row>
    <row r="43" spans="1:11" ht="11.25" x14ac:dyDescent="0.2">
      <c r="A43" s="81">
        <f t="shared" ref="A43:C43" si="31">A7/12*MONTH($A$36)</f>
        <v>96798.964999999997</v>
      </c>
      <c r="B43" s="81">
        <f t="shared" si="31"/>
        <v>129065.285</v>
      </c>
      <c r="C43" s="81">
        <f t="shared" si="31"/>
        <v>12745.197</v>
      </c>
      <c r="D43" s="1">
        <f>$D$7</f>
        <v>0.23</v>
      </c>
      <c r="E43" s="81">
        <f t="shared" si="26"/>
        <v>96798.964999999997</v>
      </c>
      <c r="G43" s="101">
        <v>154000</v>
      </c>
      <c r="H43" s="101">
        <v>33070</v>
      </c>
      <c r="J43" s="101">
        <v>179000</v>
      </c>
      <c r="K43" s="101">
        <v>51173</v>
      </c>
    </row>
    <row r="44" spans="1:11" ht="11.25" x14ac:dyDescent="0.2">
      <c r="A44" s="81">
        <f t="shared" ref="A44:C44" si="32">A8/12*MONTH($A$36)</f>
        <v>129065.285</v>
      </c>
      <c r="B44" s="81">
        <f t="shared" si="32"/>
        <v>193597.92749999999</v>
      </c>
      <c r="C44" s="81">
        <f t="shared" si="32"/>
        <v>20166.450600000004</v>
      </c>
      <c r="D44" s="1">
        <f>$D$8</f>
        <v>0.27</v>
      </c>
      <c r="E44" s="81">
        <f t="shared" si="26"/>
        <v>129065.285</v>
      </c>
      <c r="G44" s="101">
        <v>154100</v>
      </c>
      <c r="H44" s="101">
        <v>32860</v>
      </c>
      <c r="J44" s="101">
        <v>179100</v>
      </c>
      <c r="K44" s="101">
        <v>50909</v>
      </c>
    </row>
    <row r="45" spans="1:11" ht="11.25" x14ac:dyDescent="0.2">
      <c r="A45" s="81">
        <f t="shared" ref="A45:C45" si="33">A9/12*MONTH($A$36)</f>
        <v>193597.92749999999</v>
      </c>
      <c r="B45" s="81">
        <f t="shared" si="33"/>
        <v>258130.57500000001</v>
      </c>
      <c r="C45" s="81">
        <f t="shared" si="33"/>
        <v>37590.264074999999</v>
      </c>
      <c r="D45" s="1">
        <f>$D$9</f>
        <v>0.31</v>
      </c>
      <c r="E45" s="81">
        <f t="shared" si="26"/>
        <v>193597.92749999999</v>
      </c>
      <c r="G45" s="101">
        <v>154200</v>
      </c>
      <c r="H45" s="101">
        <v>32651.000000000004</v>
      </c>
      <c r="J45" s="101">
        <v>179200</v>
      </c>
      <c r="K45" s="101">
        <v>50647</v>
      </c>
    </row>
    <row r="46" spans="1:11" ht="11.25" x14ac:dyDescent="0.2">
      <c r="A46" s="81">
        <f t="shared" ref="A46:C46" si="34">A10/12*MONTH($A$36)</f>
        <v>258130.57500000001</v>
      </c>
      <c r="B46" s="81">
        <f t="shared" si="34"/>
        <v>2499999999.75</v>
      </c>
      <c r="C46" s="81">
        <f t="shared" si="34"/>
        <v>57595.384800000007</v>
      </c>
      <c r="D46" s="1">
        <f>$D$10</f>
        <v>0.35</v>
      </c>
      <c r="E46" s="81">
        <f t="shared" si="26"/>
        <v>258130.57500000001</v>
      </c>
      <c r="G46" s="101">
        <v>154300</v>
      </c>
      <c r="H46" s="101">
        <v>32442.999999999996</v>
      </c>
      <c r="J46" s="101">
        <v>179300</v>
      </c>
      <c r="K46" s="101">
        <v>50386</v>
      </c>
    </row>
    <row r="47" spans="1:11" ht="11.25" x14ac:dyDescent="0.2">
      <c r="G47" s="101">
        <v>154400</v>
      </c>
      <c r="H47" s="101">
        <v>32235.999999999996</v>
      </c>
      <c r="J47" s="101">
        <v>179400</v>
      </c>
      <c r="K47" s="101">
        <v>50126</v>
      </c>
    </row>
    <row r="48" spans="1:11" ht="11.25" x14ac:dyDescent="0.2">
      <c r="A48" s="92">
        <v>44287</v>
      </c>
      <c r="G48" s="101">
        <v>154500</v>
      </c>
      <c r="H48" s="101">
        <v>32029.000000000004</v>
      </c>
      <c r="J48" s="101">
        <v>179500</v>
      </c>
      <c r="K48" s="101">
        <v>49866</v>
      </c>
    </row>
    <row r="49" spans="1:11" ht="11.25" x14ac:dyDescent="0.2">
      <c r="A49" s="81">
        <f>A1/12*MONTH($A$48)</f>
        <v>-33333333</v>
      </c>
      <c r="B49" s="81">
        <f>B1/12*MONTH($A$48)</f>
        <v>0</v>
      </c>
      <c r="C49" s="81">
        <f>C1/12*MONTH($A$48)</f>
        <v>0</v>
      </c>
      <c r="D49" s="1">
        <f>$D$1</f>
        <v>0</v>
      </c>
      <c r="E49" s="81">
        <f>E1/12*MONTH($A$36)</f>
        <v>0</v>
      </c>
      <c r="G49" s="101">
        <v>154600</v>
      </c>
      <c r="H49" s="101">
        <v>31824</v>
      </c>
      <c r="J49" s="101">
        <v>179600</v>
      </c>
      <c r="K49" s="101">
        <v>49608</v>
      </c>
    </row>
    <row r="50" spans="1:11" ht="11.25" x14ac:dyDescent="0.2">
      <c r="A50" s="81">
        <f t="shared" ref="A50:C50" si="35">A2/12*MONTH($A$48)</f>
        <v>0</v>
      </c>
      <c r="B50" s="81">
        <f t="shared" si="35"/>
        <v>21510.880000000001</v>
      </c>
      <c r="C50" s="81">
        <f t="shared" si="35"/>
        <v>0</v>
      </c>
      <c r="D50" s="1">
        <f>$D$2</f>
        <v>0.05</v>
      </c>
      <c r="E50" s="81">
        <f t="shared" ref="E50:E58" si="36">E2/12*MONTH($A$36)</f>
        <v>0</v>
      </c>
      <c r="G50" s="101">
        <v>154700</v>
      </c>
      <c r="H50" s="101">
        <v>31618</v>
      </c>
      <c r="J50" s="101">
        <v>179700</v>
      </c>
      <c r="K50" s="101">
        <v>49351</v>
      </c>
    </row>
    <row r="51" spans="1:11" ht="11.25" x14ac:dyDescent="0.2">
      <c r="A51" s="81">
        <f t="shared" ref="A51:C51" si="37">A3/12*MONTH($A$48)</f>
        <v>21510.880000000001</v>
      </c>
      <c r="B51" s="81">
        <f t="shared" si="37"/>
        <v>43021.763333333329</v>
      </c>
      <c r="C51" s="81">
        <f t="shared" si="37"/>
        <v>1075.5440000000001</v>
      </c>
      <c r="D51" s="1">
        <f>$D$3</f>
        <v>0.09</v>
      </c>
      <c r="E51" s="81">
        <f t="shared" si="36"/>
        <v>16133.16</v>
      </c>
      <c r="G51" s="101">
        <v>154800</v>
      </c>
      <c r="H51" s="101">
        <v>31414</v>
      </c>
      <c r="J51" s="101">
        <v>179800</v>
      </c>
      <c r="K51" s="101">
        <v>49094</v>
      </c>
    </row>
    <row r="52" spans="1:11" ht="11.25" x14ac:dyDescent="0.2">
      <c r="A52" s="81">
        <f t="shared" ref="A52:C52" si="38">A4/12*MONTH($A$48)</f>
        <v>43021.763333333329</v>
      </c>
      <c r="B52" s="81">
        <f t="shared" si="38"/>
        <v>64532.643333333333</v>
      </c>
      <c r="C52" s="81">
        <f t="shared" si="38"/>
        <v>3011.5234999999998</v>
      </c>
      <c r="D52" s="1">
        <f>$D$4</f>
        <v>0.12</v>
      </c>
      <c r="E52" s="81">
        <f t="shared" si="36"/>
        <v>32266.322499999995</v>
      </c>
      <c r="G52" s="101">
        <v>154900</v>
      </c>
      <c r="H52" s="101">
        <v>31211</v>
      </c>
      <c r="J52" s="101">
        <v>179900</v>
      </c>
      <c r="K52" s="101">
        <v>48839</v>
      </c>
    </row>
    <row r="53" spans="1:11" ht="11.25" x14ac:dyDescent="0.2">
      <c r="A53" s="81">
        <f t="shared" ref="A53:C53" si="39">A5/12*MONTH($A$48)</f>
        <v>64532.643333333333</v>
      </c>
      <c r="B53" s="81">
        <f t="shared" si="39"/>
        <v>86043.526666666658</v>
      </c>
      <c r="C53" s="81">
        <f t="shared" si="39"/>
        <v>5592.8290999999999</v>
      </c>
      <c r="D53" s="1">
        <f>$D$5</f>
        <v>0.15</v>
      </c>
      <c r="E53" s="81">
        <f t="shared" si="36"/>
        <v>48399.482499999998</v>
      </c>
      <c r="G53" s="101">
        <v>155000</v>
      </c>
      <c r="H53" s="101">
        <v>31008</v>
      </c>
      <c r="J53" s="101">
        <v>180000</v>
      </c>
      <c r="K53" s="101">
        <v>48584</v>
      </c>
    </row>
    <row r="54" spans="1:11" ht="11.25" x14ac:dyDescent="0.2">
      <c r="A54" s="81">
        <f t="shared" ref="A54:C54" si="40">A6/12*MONTH($A$48)</f>
        <v>86043.526666666658</v>
      </c>
      <c r="B54" s="81">
        <f t="shared" si="40"/>
        <v>129065.28666666667</v>
      </c>
      <c r="C54" s="81">
        <f t="shared" si="40"/>
        <v>8819.4616000000005</v>
      </c>
      <c r="D54" s="1">
        <f>$D$6</f>
        <v>0.19</v>
      </c>
      <c r="E54" s="81">
        <f t="shared" si="36"/>
        <v>64532.64499999999</v>
      </c>
      <c r="G54" s="101">
        <v>155100</v>
      </c>
      <c r="H54" s="101">
        <v>30805</v>
      </c>
      <c r="J54" s="101">
        <v>180100</v>
      </c>
      <c r="K54" s="101">
        <v>48330</v>
      </c>
    </row>
    <row r="55" spans="1:11" ht="11.25" x14ac:dyDescent="0.2">
      <c r="A55" s="81">
        <f t="shared" ref="A55:C55" si="41">A7/12*MONTH($A$48)</f>
        <v>129065.28666666667</v>
      </c>
      <c r="B55" s="81">
        <f t="shared" si="41"/>
        <v>172087.04666666666</v>
      </c>
      <c r="C55" s="81">
        <f t="shared" si="41"/>
        <v>16993.596000000001</v>
      </c>
      <c r="D55" s="1">
        <f>$D$7</f>
        <v>0.23</v>
      </c>
      <c r="E55" s="81">
        <f t="shared" si="36"/>
        <v>96798.964999999997</v>
      </c>
      <c r="G55" s="101">
        <v>155200</v>
      </c>
      <c r="H55" s="101">
        <v>30604</v>
      </c>
      <c r="J55" s="101">
        <v>180200</v>
      </c>
      <c r="K55" s="101">
        <v>48077</v>
      </c>
    </row>
    <row r="56" spans="1:11" ht="11.25" x14ac:dyDescent="0.2">
      <c r="A56" s="81">
        <f t="shared" ref="A56:C56" si="42">A8/12*MONTH($A$48)</f>
        <v>172087.04666666666</v>
      </c>
      <c r="B56" s="81">
        <f t="shared" si="42"/>
        <v>258130.56999999998</v>
      </c>
      <c r="C56" s="81">
        <f t="shared" si="42"/>
        <v>26888.600800000004</v>
      </c>
      <c r="D56" s="1">
        <f>$D$8</f>
        <v>0.27</v>
      </c>
      <c r="E56" s="81">
        <f t="shared" si="36"/>
        <v>129065.285</v>
      </c>
      <c r="G56" s="101">
        <v>155300</v>
      </c>
      <c r="H56" s="101">
        <v>30403</v>
      </c>
      <c r="J56" s="101">
        <v>180300</v>
      </c>
      <c r="K56" s="101">
        <v>47825</v>
      </c>
    </row>
    <row r="57" spans="1:11" ht="11.25" x14ac:dyDescent="0.2">
      <c r="A57" s="81">
        <f t="shared" ref="A57:C57" si="43">A9/12*MONTH($A$48)</f>
        <v>258130.56999999998</v>
      </c>
      <c r="B57" s="81">
        <f t="shared" si="43"/>
        <v>344174.10000000003</v>
      </c>
      <c r="C57" s="81">
        <f t="shared" si="43"/>
        <v>50120.352099999996</v>
      </c>
      <c r="D57" s="1">
        <f>$D$9</f>
        <v>0.31</v>
      </c>
      <c r="E57" s="81">
        <f t="shared" si="36"/>
        <v>193597.92749999999</v>
      </c>
      <c r="G57" s="101">
        <v>155400</v>
      </c>
      <c r="H57" s="101">
        <v>30203</v>
      </c>
      <c r="J57" s="101">
        <v>180400</v>
      </c>
      <c r="K57" s="101">
        <v>47574</v>
      </c>
    </row>
    <row r="58" spans="1:11" ht="11.25" x14ac:dyDescent="0.2">
      <c r="A58" s="81">
        <f t="shared" ref="A58:C58" si="44">A10/12*MONTH($A$48)</f>
        <v>344174.10000000003</v>
      </c>
      <c r="B58" s="81">
        <f t="shared" si="44"/>
        <v>3333333333</v>
      </c>
      <c r="C58" s="81">
        <f t="shared" si="44"/>
        <v>76793.846400000009</v>
      </c>
      <c r="D58" s="1">
        <f>$D$10</f>
        <v>0.35</v>
      </c>
      <c r="E58" s="81">
        <f t="shared" si="36"/>
        <v>258130.57500000001</v>
      </c>
      <c r="G58" s="101">
        <v>155500</v>
      </c>
      <c r="H58" s="101">
        <v>30003</v>
      </c>
      <c r="J58" s="101">
        <v>180500</v>
      </c>
      <c r="K58" s="101">
        <v>47323</v>
      </c>
    </row>
    <row r="59" spans="1:11" ht="11.25" x14ac:dyDescent="0.2">
      <c r="G59" s="101">
        <v>155600</v>
      </c>
      <c r="H59" s="101">
        <v>29804</v>
      </c>
      <c r="J59" s="101">
        <v>180600</v>
      </c>
      <c r="K59" s="101">
        <v>47073</v>
      </c>
    </row>
    <row r="60" spans="1:11" ht="11.25" x14ac:dyDescent="0.2">
      <c r="A60" s="92">
        <v>44317</v>
      </c>
      <c r="G60" s="101">
        <v>155700</v>
      </c>
      <c r="H60" s="101">
        <v>29605</v>
      </c>
      <c r="J60" s="101">
        <v>180700</v>
      </c>
      <c r="K60" s="101">
        <v>46824</v>
      </c>
    </row>
    <row r="61" spans="1:11" ht="11.25" x14ac:dyDescent="0.2">
      <c r="A61" s="81">
        <f t="shared" ref="A61:C70" si="45">A1/12*MONTH($A$60)</f>
        <v>-41666666.25</v>
      </c>
      <c r="B61" s="81">
        <f t="shared" si="45"/>
        <v>0</v>
      </c>
      <c r="C61" s="81">
        <f t="shared" si="45"/>
        <v>0</v>
      </c>
      <c r="D61" s="1">
        <f>$D$1</f>
        <v>0</v>
      </c>
      <c r="E61" s="81">
        <v>0</v>
      </c>
      <c r="G61" s="101">
        <v>155800</v>
      </c>
      <c r="H61" s="101">
        <v>29407</v>
      </c>
      <c r="J61" s="101">
        <v>180800</v>
      </c>
      <c r="K61" s="101">
        <v>46576</v>
      </c>
    </row>
    <row r="62" spans="1:11" ht="11.25" x14ac:dyDescent="0.2">
      <c r="A62" s="81">
        <f t="shared" si="45"/>
        <v>0</v>
      </c>
      <c r="B62" s="81">
        <f t="shared" si="45"/>
        <v>26888.600000000002</v>
      </c>
      <c r="C62" s="81">
        <f t="shared" si="45"/>
        <v>0</v>
      </c>
      <c r="D62" s="1">
        <f>$D$2</f>
        <v>0.05</v>
      </c>
      <c r="E62" s="81">
        <v>0</v>
      </c>
      <c r="G62" s="101">
        <v>155900</v>
      </c>
      <c r="H62" s="101">
        <v>29210</v>
      </c>
      <c r="J62" s="101">
        <v>180900</v>
      </c>
      <c r="K62" s="101">
        <v>46328</v>
      </c>
    </row>
    <row r="63" spans="1:11" ht="11.25" x14ac:dyDescent="0.2">
      <c r="A63" s="81">
        <f t="shared" si="45"/>
        <v>26888.600000000002</v>
      </c>
      <c r="B63" s="81">
        <f t="shared" si="45"/>
        <v>53777.204166666663</v>
      </c>
      <c r="C63" s="81">
        <f t="shared" si="45"/>
        <v>1344.43</v>
      </c>
      <c r="D63" s="1">
        <f>$D$3</f>
        <v>0.09</v>
      </c>
      <c r="E63" s="81">
        <f>A63</f>
        <v>26888.600000000002</v>
      </c>
      <c r="G63" s="101">
        <v>156000</v>
      </c>
      <c r="H63" s="101">
        <v>29013</v>
      </c>
      <c r="J63" s="101">
        <v>181000</v>
      </c>
      <c r="K63" s="101">
        <v>46081</v>
      </c>
    </row>
    <row r="64" spans="1:11" ht="11.25" x14ac:dyDescent="0.2">
      <c r="A64" s="81">
        <f t="shared" si="45"/>
        <v>53777.204166666663</v>
      </c>
      <c r="B64" s="81">
        <f t="shared" si="45"/>
        <v>80665.804166666669</v>
      </c>
      <c r="C64" s="81">
        <f t="shared" si="45"/>
        <v>3764.4043749999996</v>
      </c>
      <c r="D64" s="1">
        <f>$D$4</f>
        <v>0.12</v>
      </c>
      <c r="E64" s="81">
        <f t="shared" ref="E64:E70" si="46">A64</f>
        <v>53777.204166666663</v>
      </c>
      <c r="G64" s="101">
        <v>156100</v>
      </c>
      <c r="H64" s="101">
        <v>28817</v>
      </c>
      <c r="J64" s="101">
        <v>181100</v>
      </c>
      <c r="K64" s="101">
        <v>45835</v>
      </c>
    </row>
    <row r="65" spans="1:11" ht="11.25" x14ac:dyDescent="0.2">
      <c r="A65" s="81">
        <f t="shared" si="45"/>
        <v>80665.804166666669</v>
      </c>
      <c r="B65" s="81">
        <f t="shared" si="45"/>
        <v>107554.40833333333</v>
      </c>
      <c r="C65" s="81">
        <f t="shared" si="45"/>
        <v>6991.0363749999997</v>
      </c>
      <c r="D65" s="1">
        <f>$D$5</f>
        <v>0.15</v>
      </c>
      <c r="E65" s="81">
        <f t="shared" si="46"/>
        <v>80665.804166666669</v>
      </c>
      <c r="G65" s="101">
        <v>156200</v>
      </c>
      <c r="H65" s="101">
        <v>28621</v>
      </c>
      <c r="J65" s="101">
        <v>181200</v>
      </c>
      <c r="K65" s="101">
        <v>45590</v>
      </c>
    </row>
    <row r="66" spans="1:11" ht="11.25" x14ac:dyDescent="0.2">
      <c r="A66" s="81">
        <f t="shared" si="45"/>
        <v>107554.40833333333</v>
      </c>
      <c r="B66" s="81">
        <f t="shared" si="45"/>
        <v>161331.60833333334</v>
      </c>
      <c r="C66" s="81">
        <f t="shared" si="45"/>
        <v>11024.327000000001</v>
      </c>
      <c r="D66" s="1">
        <f>$D$6</f>
        <v>0.19</v>
      </c>
      <c r="E66" s="81">
        <f t="shared" si="46"/>
        <v>107554.40833333333</v>
      </c>
      <c r="G66" s="101">
        <v>156300</v>
      </c>
      <c r="H66" s="101">
        <v>28426</v>
      </c>
      <c r="J66" s="101">
        <v>181300</v>
      </c>
      <c r="K66" s="101">
        <v>45345</v>
      </c>
    </row>
    <row r="67" spans="1:11" ht="11.25" x14ac:dyDescent="0.2">
      <c r="A67" s="81">
        <f t="shared" si="45"/>
        <v>161331.60833333334</v>
      </c>
      <c r="B67" s="81">
        <f t="shared" si="45"/>
        <v>215108.80833333332</v>
      </c>
      <c r="C67" s="81">
        <f t="shared" si="45"/>
        <v>21241.995000000003</v>
      </c>
      <c r="D67" s="1">
        <f>$D$7</f>
        <v>0.23</v>
      </c>
      <c r="E67" s="81">
        <f t="shared" si="46"/>
        <v>161331.60833333334</v>
      </c>
      <c r="G67" s="101">
        <v>156400</v>
      </c>
      <c r="H67" s="101">
        <v>28231</v>
      </c>
      <c r="J67" s="101">
        <v>181400</v>
      </c>
      <c r="K67" s="101">
        <v>45100</v>
      </c>
    </row>
    <row r="68" spans="1:11" ht="11.25" x14ac:dyDescent="0.2">
      <c r="A68" s="81">
        <f t="shared" si="45"/>
        <v>215108.80833333332</v>
      </c>
      <c r="B68" s="81">
        <f t="shared" si="45"/>
        <v>322663.21249999997</v>
      </c>
      <c r="C68" s="81">
        <f t="shared" si="45"/>
        <v>33610.751000000004</v>
      </c>
      <c r="D68" s="1">
        <f>$D$8</f>
        <v>0.27</v>
      </c>
      <c r="E68" s="81">
        <f t="shared" si="46"/>
        <v>215108.80833333332</v>
      </c>
      <c r="G68" s="101">
        <v>156500</v>
      </c>
      <c r="H68" s="101">
        <v>28037</v>
      </c>
      <c r="J68" s="101">
        <v>181500</v>
      </c>
      <c r="K68" s="101">
        <v>44857</v>
      </c>
    </row>
    <row r="69" spans="1:11" ht="11.25" x14ac:dyDescent="0.2">
      <c r="A69" s="81">
        <f t="shared" si="45"/>
        <v>322663.21249999997</v>
      </c>
      <c r="B69" s="81">
        <f t="shared" si="45"/>
        <v>430217.62500000006</v>
      </c>
      <c r="C69" s="81">
        <f t="shared" si="45"/>
        <v>62650.440124999994</v>
      </c>
      <c r="D69" s="1">
        <f>$D$9</f>
        <v>0.31</v>
      </c>
      <c r="E69" s="81">
        <f t="shared" si="46"/>
        <v>322663.21249999997</v>
      </c>
      <c r="G69" s="101">
        <v>156600</v>
      </c>
      <c r="H69" s="101">
        <v>27844</v>
      </c>
      <c r="J69" s="101">
        <v>181600</v>
      </c>
      <c r="K69" s="101">
        <v>44614</v>
      </c>
    </row>
    <row r="70" spans="1:11" ht="11.25" x14ac:dyDescent="0.2">
      <c r="A70" s="81">
        <f t="shared" si="45"/>
        <v>430217.62500000006</v>
      </c>
      <c r="B70" s="81">
        <f t="shared" si="45"/>
        <v>4166666666.25</v>
      </c>
      <c r="C70" s="81">
        <f t="shared" si="45"/>
        <v>95992.308000000019</v>
      </c>
      <c r="D70" s="1">
        <f>$D$10</f>
        <v>0.35</v>
      </c>
      <c r="E70" s="81">
        <f t="shared" si="46"/>
        <v>430217.62500000006</v>
      </c>
      <c r="G70" s="101">
        <v>156700</v>
      </c>
      <c r="H70" s="101">
        <v>27651</v>
      </c>
      <c r="J70" s="101">
        <v>181700</v>
      </c>
      <c r="K70" s="101">
        <v>44371</v>
      </c>
    </row>
    <row r="71" spans="1:11" ht="11.25" x14ac:dyDescent="0.2">
      <c r="G71" s="101">
        <v>156800</v>
      </c>
      <c r="H71" s="101">
        <v>27458</v>
      </c>
      <c r="J71" s="101">
        <v>181800</v>
      </c>
      <c r="K71" s="101">
        <v>44130</v>
      </c>
    </row>
    <row r="72" spans="1:11" ht="11.25" x14ac:dyDescent="0.2">
      <c r="A72" s="92">
        <v>44348</v>
      </c>
      <c r="G72" s="101">
        <v>156900</v>
      </c>
      <c r="H72" s="101">
        <v>27266</v>
      </c>
      <c r="J72" s="101">
        <v>181900</v>
      </c>
      <c r="K72" s="101">
        <v>43888</v>
      </c>
    </row>
    <row r="73" spans="1:11" ht="11.25" x14ac:dyDescent="0.2">
      <c r="A73" s="81">
        <f>A1/12*MONTH($A$72)</f>
        <v>-49999999.5</v>
      </c>
      <c r="B73" s="81">
        <f>B1/12*MONTH($A$72)</f>
        <v>0</v>
      </c>
      <c r="C73" s="81">
        <f>C1/12*MONTH($A$72)</f>
        <v>0</v>
      </c>
      <c r="D73" s="1">
        <f>$D$1</f>
        <v>0</v>
      </c>
      <c r="E73" s="81">
        <v>0</v>
      </c>
      <c r="G73" s="101">
        <v>157000</v>
      </c>
      <c r="H73" s="101">
        <v>27074</v>
      </c>
      <c r="J73" s="101">
        <v>182000</v>
      </c>
      <c r="K73" s="101">
        <v>43648</v>
      </c>
    </row>
    <row r="74" spans="1:11" ht="11.25" x14ac:dyDescent="0.2">
      <c r="A74" s="81">
        <f t="shared" ref="A74:C74" si="47">A2/12*MONTH($A$72)</f>
        <v>0</v>
      </c>
      <c r="B74" s="81">
        <f t="shared" si="47"/>
        <v>32266.32</v>
      </c>
      <c r="C74" s="81">
        <f t="shared" si="47"/>
        <v>0</v>
      </c>
      <c r="D74" s="1">
        <f>$D$2</f>
        <v>0.05</v>
      </c>
      <c r="E74" s="81">
        <v>0</v>
      </c>
      <c r="G74" s="101">
        <v>157100</v>
      </c>
      <c r="H74" s="101">
        <v>26883</v>
      </c>
      <c r="J74" s="101">
        <v>182100</v>
      </c>
      <c r="K74" s="101">
        <v>43408</v>
      </c>
    </row>
    <row r="75" spans="1:11" ht="11.25" x14ac:dyDescent="0.2">
      <c r="A75" s="81">
        <f t="shared" ref="A75:C75" si="48">A3/12*MONTH($A$72)</f>
        <v>32266.32</v>
      </c>
      <c r="B75" s="81">
        <f t="shared" si="48"/>
        <v>64532.64499999999</v>
      </c>
      <c r="C75" s="81">
        <f t="shared" si="48"/>
        <v>1613.3160000000003</v>
      </c>
      <c r="D75" s="1">
        <f>$D$3</f>
        <v>0.09</v>
      </c>
      <c r="E75" s="81">
        <f>A75</f>
        <v>32266.32</v>
      </c>
      <c r="G75" s="101">
        <v>157200</v>
      </c>
      <c r="H75" s="101">
        <v>26692</v>
      </c>
      <c r="J75" s="101">
        <v>182200</v>
      </c>
      <c r="K75" s="101">
        <v>43168</v>
      </c>
    </row>
    <row r="76" spans="1:11" ht="11.25" x14ac:dyDescent="0.2">
      <c r="A76" s="81">
        <f t="shared" ref="A76:C76" si="49">A4/12*MONTH($A$72)</f>
        <v>64532.64499999999</v>
      </c>
      <c r="B76" s="81">
        <f t="shared" si="49"/>
        <v>96798.964999999997</v>
      </c>
      <c r="C76" s="81">
        <f t="shared" si="49"/>
        <v>4517.2852499999999</v>
      </c>
      <c r="D76" s="1">
        <f>$D$4</f>
        <v>0.12</v>
      </c>
      <c r="E76" s="81">
        <f t="shared" ref="E76:E82" si="50">A76</f>
        <v>64532.64499999999</v>
      </c>
      <c r="G76" s="101">
        <v>157300</v>
      </c>
      <c r="H76" s="101">
        <v>26501</v>
      </c>
      <c r="J76" s="101">
        <v>182300</v>
      </c>
      <c r="K76" s="101">
        <v>42929</v>
      </c>
    </row>
    <row r="77" spans="1:11" ht="11.25" x14ac:dyDescent="0.2">
      <c r="A77" s="81">
        <f t="shared" ref="A77:C77" si="51">A5/12*MONTH($A$72)</f>
        <v>96798.964999999997</v>
      </c>
      <c r="B77" s="81">
        <f t="shared" si="51"/>
        <v>129065.28999999998</v>
      </c>
      <c r="C77" s="81">
        <f t="shared" si="51"/>
        <v>8389.2436500000003</v>
      </c>
      <c r="D77" s="1">
        <f>$D$5</f>
        <v>0.15</v>
      </c>
      <c r="E77" s="81">
        <f t="shared" si="50"/>
        <v>96798.964999999997</v>
      </c>
      <c r="G77" s="101">
        <v>157400</v>
      </c>
      <c r="H77" s="101">
        <v>26311</v>
      </c>
      <c r="J77" s="101">
        <v>182400</v>
      </c>
      <c r="K77" s="101">
        <v>42691</v>
      </c>
    </row>
    <row r="78" spans="1:11" ht="11.25" x14ac:dyDescent="0.2">
      <c r="A78" s="81">
        <f t="shared" ref="A78:C78" si="52">A6/12*MONTH($A$72)</f>
        <v>129065.28999999998</v>
      </c>
      <c r="B78" s="81">
        <f t="shared" si="52"/>
        <v>193597.93</v>
      </c>
      <c r="C78" s="81">
        <f t="shared" si="52"/>
        <v>13229.1924</v>
      </c>
      <c r="D78" s="1">
        <f>$D$6</f>
        <v>0.19</v>
      </c>
      <c r="E78" s="81">
        <f t="shared" si="50"/>
        <v>129065.28999999998</v>
      </c>
      <c r="G78" s="101">
        <v>157500</v>
      </c>
      <c r="H78" s="101">
        <v>26122</v>
      </c>
      <c r="J78" s="101">
        <v>182500</v>
      </c>
      <c r="K78" s="101">
        <v>42453</v>
      </c>
    </row>
    <row r="79" spans="1:11" ht="11.25" x14ac:dyDescent="0.2">
      <c r="A79" s="81">
        <f t="shared" ref="A79:C79" si="53">A7/12*MONTH($A$72)</f>
        <v>193597.93</v>
      </c>
      <c r="B79" s="81">
        <f t="shared" si="53"/>
        <v>258130.57</v>
      </c>
      <c r="C79" s="81">
        <f t="shared" si="53"/>
        <v>25490.394</v>
      </c>
      <c r="D79" s="1">
        <f>$D$7</f>
        <v>0.23</v>
      </c>
      <c r="E79" s="81">
        <f t="shared" si="50"/>
        <v>193597.93</v>
      </c>
      <c r="G79" s="101">
        <v>157600</v>
      </c>
      <c r="H79" s="101">
        <v>25933</v>
      </c>
      <c r="J79" s="101">
        <v>182600</v>
      </c>
      <c r="K79" s="101">
        <v>42216</v>
      </c>
    </row>
    <row r="80" spans="1:11" ht="11.25" x14ac:dyDescent="0.2">
      <c r="A80" s="81">
        <f t="shared" ref="A80:C80" si="54">A8/12*MONTH($A$72)</f>
        <v>258130.57</v>
      </c>
      <c r="B80" s="81">
        <f t="shared" si="54"/>
        <v>387195.85499999998</v>
      </c>
      <c r="C80" s="81">
        <f t="shared" si="54"/>
        <v>40332.901200000008</v>
      </c>
      <c r="D80" s="1">
        <f>$D$8</f>
        <v>0.27</v>
      </c>
      <c r="E80" s="81">
        <f t="shared" si="50"/>
        <v>258130.57</v>
      </c>
      <c r="G80" s="101">
        <v>157700</v>
      </c>
      <c r="H80" s="101">
        <v>25744</v>
      </c>
      <c r="J80" s="101">
        <v>182700</v>
      </c>
      <c r="K80" s="101">
        <v>41979</v>
      </c>
    </row>
    <row r="81" spans="1:11" ht="11.25" x14ac:dyDescent="0.2">
      <c r="A81" s="81">
        <f t="shared" ref="A81:C81" si="55">A9/12*MONTH($A$72)</f>
        <v>387195.85499999998</v>
      </c>
      <c r="B81" s="81">
        <f t="shared" si="55"/>
        <v>516261.15</v>
      </c>
      <c r="C81" s="81">
        <f t="shared" si="55"/>
        <v>75180.528149999998</v>
      </c>
      <c r="D81" s="1">
        <f>$D$9</f>
        <v>0.31</v>
      </c>
      <c r="E81" s="81">
        <f t="shared" si="50"/>
        <v>387195.85499999998</v>
      </c>
      <c r="G81" s="101">
        <v>157800</v>
      </c>
      <c r="H81" s="101">
        <v>25556</v>
      </c>
      <c r="J81" s="101">
        <v>182800</v>
      </c>
      <c r="K81" s="101">
        <v>41743</v>
      </c>
    </row>
    <row r="82" spans="1:11" ht="11.25" x14ac:dyDescent="0.2">
      <c r="A82" s="81">
        <f t="shared" ref="A82:C82" si="56">A10/12*MONTH($A$72)</f>
        <v>516261.15</v>
      </c>
      <c r="B82" s="81">
        <f t="shared" si="56"/>
        <v>4999999999.5</v>
      </c>
      <c r="C82" s="81">
        <f t="shared" si="56"/>
        <v>115190.76960000001</v>
      </c>
      <c r="D82" s="1">
        <f>$D$10</f>
        <v>0.35</v>
      </c>
      <c r="E82" s="81">
        <f t="shared" si="50"/>
        <v>516261.15</v>
      </c>
      <c r="G82" s="101">
        <v>157900</v>
      </c>
      <c r="H82" s="101">
        <v>25368</v>
      </c>
      <c r="J82" s="101">
        <v>182900</v>
      </c>
      <c r="K82" s="101">
        <v>41507</v>
      </c>
    </row>
    <row r="83" spans="1:11" ht="11.25" x14ac:dyDescent="0.2">
      <c r="G83" s="101">
        <v>158000</v>
      </c>
      <c r="H83" s="101">
        <v>25181</v>
      </c>
      <c r="J83" s="101">
        <v>183000</v>
      </c>
      <c r="K83" s="101">
        <v>41272</v>
      </c>
    </row>
    <row r="84" spans="1:11" ht="11.25" x14ac:dyDescent="0.2">
      <c r="A84" s="92">
        <v>44378</v>
      </c>
      <c r="G84" s="101">
        <v>158100</v>
      </c>
      <c r="H84" s="101">
        <v>24994</v>
      </c>
      <c r="J84" s="101">
        <v>183100</v>
      </c>
      <c r="K84" s="101">
        <v>41037</v>
      </c>
    </row>
    <row r="85" spans="1:11" ht="11.25" x14ac:dyDescent="0.2">
      <c r="A85" s="81">
        <f>A1/12*MONTH($A$84)</f>
        <v>-58333332.75</v>
      </c>
      <c r="B85" s="81">
        <f>B1/12*MONTH($A$84)</f>
        <v>0</v>
      </c>
      <c r="C85" s="81">
        <f>C1/12*MONTH($A$84)</f>
        <v>0</v>
      </c>
      <c r="D85" s="1">
        <f>$D$1</f>
        <v>0</v>
      </c>
      <c r="E85" s="81">
        <v>0</v>
      </c>
      <c r="G85" s="101">
        <v>158200</v>
      </c>
      <c r="H85" s="101">
        <v>24807</v>
      </c>
      <c r="J85" s="101">
        <v>183200</v>
      </c>
      <c r="K85" s="101">
        <v>40803</v>
      </c>
    </row>
    <row r="86" spans="1:11" ht="11.25" x14ac:dyDescent="0.2">
      <c r="A86" s="81">
        <f t="shared" ref="A86:C86" si="57">A2/12*MONTH($A$84)</f>
        <v>0</v>
      </c>
      <c r="B86" s="81">
        <f t="shared" si="57"/>
        <v>37644.04</v>
      </c>
      <c r="C86" s="81">
        <f t="shared" si="57"/>
        <v>0</v>
      </c>
      <c r="D86" s="1">
        <f>$D$2</f>
        <v>0.05</v>
      </c>
      <c r="E86" s="81">
        <v>0</v>
      </c>
      <c r="G86" s="101">
        <v>158300</v>
      </c>
      <c r="H86" s="101">
        <v>24621</v>
      </c>
      <c r="J86" s="101">
        <v>183300</v>
      </c>
      <c r="K86" s="101">
        <v>40569</v>
      </c>
    </row>
    <row r="87" spans="1:11" ht="11.25" x14ac:dyDescent="0.2">
      <c r="A87" s="81">
        <f t="shared" ref="A87:C87" si="58">A3/12*MONTH($A$84)</f>
        <v>37644.04</v>
      </c>
      <c r="B87" s="81">
        <f t="shared" si="58"/>
        <v>75288.085833333331</v>
      </c>
      <c r="C87" s="81">
        <f t="shared" si="58"/>
        <v>1882.2020000000002</v>
      </c>
      <c r="D87" s="1">
        <f>$D$3</f>
        <v>0.09</v>
      </c>
      <c r="E87" s="81">
        <f>A87</f>
        <v>37644.04</v>
      </c>
      <c r="G87" s="101">
        <v>158400</v>
      </c>
      <c r="H87" s="101">
        <v>24435</v>
      </c>
      <c r="J87" s="101">
        <v>183400</v>
      </c>
      <c r="K87" s="101">
        <v>40336</v>
      </c>
    </row>
    <row r="88" spans="1:11" ht="11.25" x14ac:dyDescent="0.2">
      <c r="A88" s="81">
        <f t="shared" ref="A88:C88" si="59">A4/12*MONTH($A$84)</f>
        <v>75288.085833333331</v>
      </c>
      <c r="B88" s="81">
        <f t="shared" si="59"/>
        <v>112932.12583333334</v>
      </c>
      <c r="C88" s="81">
        <f t="shared" si="59"/>
        <v>5270.1661249999997</v>
      </c>
      <c r="D88" s="1">
        <f>$D$4</f>
        <v>0.12</v>
      </c>
      <c r="E88" s="81">
        <f t="shared" ref="E88:E94" si="60">A88</f>
        <v>75288.085833333331</v>
      </c>
      <c r="G88" s="101">
        <v>158500</v>
      </c>
      <c r="H88" s="101">
        <v>24249</v>
      </c>
      <c r="J88" s="101">
        <v>183500</v>
      </c>
      <c r="K88" s="101">
        <v>40103</v>
      </c>
    </row>
    <row r="89" spans="1:11" ht="11.25" x14ac:dyDescent="0.2">
      <c r="A89" s="81">
        <f t="shared" ref="A89:C89" si="61">A5/12*MONTH($A$84)</f>
        <v>112932.12583333334</v>
      </c>
      <c r="B89" s="81">
        <f t="shared" si="61"/>
        <v>150576.17166666666</v>
      </c>
      <c r="C89" s="81">
        <f t="shared" si="61"/>
        <v>9787.4509249999992</v>
      </c>
      <c r="D89" s="1">
        <f>$D$5</f>
        <v>0.15</v>
      </c>
      <c r="E89" s="81">
        <f t="shared" si="60"/>
        <v>112932.12583333334</v>
      </c>
      <c r="G89" s="101">
        <v>158600</v>
      </c>
      <c r="H89" s="101">
        <v>24064</v>
      </c>
      <c r="J89" s="101">
        <v>183600</v>
      </c>
      <c r="K89" s="101">
        <v>39870</v>
      </c>
    </row>
    <row r="90" spans="1:11" ht="11.25" x14ac:dyDescent="0.2">
      <c r="A90" s="81">
        <f t="shared" ref="A90:C90" si="62">A6/12*MONTH($A$84)</f>
        <v>150576.17166666666</v>
      </c>
      <c r="B90" s="81">
        <f t="shared" si="62"/>
        <v>225864.25166666668</v>
      </c>
      <c r="C90" s="81">
        <f t="shared" si="62"/>
        <v>15434.0578</v>
      </c>
      <c r="D90" s="1">
        <f>$D$6</f>
        <v>0.19</v>
      </c>
      <c r="E90" s="81">
        <f t="shared" si="60"/>
        <v>150576.17166666666</v>
      </c>
      <c r="G90" s="101">
        <v>158700</v>
      </c>
      <c r="H90" s="101">
        <v>23879</v>
      </c>
      <c r="J90" s="101">
        <v>183700</v>
      </c>
      <c r="K90" s="101">
        <v>39638</v>
      </c>
    </row>
    <row r="91" spans="1:11" ht="11.25" x14ac:dyDescent="0.2">
      <c r="A91" s="81">
        <f t="shared" ref="A91:C91" si="63">A7/12*MONTH($A$84)</f>
        <v>225864.25166666668</v>
      </c>
      <c r="B91" s="81">
        <f t="shared" si="63"/>
        <v>301152.33166666667</v>
      </c>
      <c r="C91" s="81">
        <f t="shared" si="63"/>
        <v>29738.793000000001</v>
      </c>
      <c r="D91" s="1">
        <f>$D$7</f>
        <v>0.23</v>
      </c>
      <c r="E91" s="81">
        <f t="shared" si="60"/>
        <v>225864.25166666668</v>
      </c>
      <c r="G91" s="101">
        <v>158800</v>
      </c>
      <c r="H91" s="101">
        <v>23695</v>
      </c>
      <c r="J91" s="101">
        <v>183800</v>
      </c>
      <c r="K91" s="101">
        <v>39407</v>
      </c>
    </row>
    <row r="92" spans="1:11" ht="11.25" x14ac:dyDescent="0.2">
      <c r="A92" s="81">
        <f t="shared" ref="A92:C92" si="64">A8/12*MONTH($A$84)</f>
        <v>301152.33166666667</v>
      </c>
      <c r="B92" s="81">
        <f t="shared" si="64"/>
        <v>451728.49749999994</v>
      </c>
      <c r="C92" s="81">
        <f t="shared" si="64"/>
        <v>47055.051400000004</v>
      </c>
      <c r="D92" s="1">
        <f>$D$8</f>
        <v>0.27</v>
      </c>
      <c r="E92" s="81">
        <f t="shared" si="60"/>
        <v>301152.33166666667</v>
      </c>
      <c r="G92" s="101">
        <v>158900</v>
      </c>
      <c r="H92" s="101">
        <v>23511</v>
      </c>
      <c r="J92" s="101">
        <v>183900</v>
      </c>
      <c r="K92" s="101">
        <v>39176</v>
      </c>
    </row>
    <row r="93" spans="1:11" ht="11.25" x14ac:dyDescent="0.2">
      <c r="A93" s="81">
        <f t="shared" ref="A93:C93" si="65">A9/12*MONTH($A$84)</f>
        <v>451728.49749999994</v>
      </c>
      <c r="B93" s="81">
        <f t="shared" si="65"/>
        <v>602304.67500000005</v>
      </c>
      <c r="C93" s="81">
        <f t="shared" si="65"/>
        <v>87710.616174999988</v>
      </c>
      <c r="D93" s="1">
        <f>$D$9</f>
        <v>0.31</v>
      </c>
      <c r="E93" s="81">
        <f t="shared" si="60"/>
        <v>451728.49749999994</v>
      </c>
      <c r="G93" s="101">
        <v>159000</v>
      </c>
      <c r="H93" s="101">
        <v>23327</v>
      </c>
      <c r="J93" s="101">
        <v>184000</v>
      </c>
      <c r="K93" s="101">
        <v>38945</v>
      </c>
    </row>
    <row r="94" spans="1:11" ht="11.25" x14ac:dyDescent="0.2">
      <c r="A94" s="81">
        <f t="shared" ref="A94:C94" si="66">A10/12*MONTH($A$84)</f>
        <v>602304.67500000005</v>
      </c>
      <c r="B94" s="81">
        <f t="shared" si="66"/>
        <v>5833333332.75</v>
      </c>
      <c r="C94" s="81">
        <f t="shared" si="66"/>
        <v>134389.23120000001</v>
      </c>
      <c r="D94" s="1">
        <f>$D$10</f>
        <v>0.35</v>
      </c>
      <c r="E94" s="81">
        <f t="shared" si="60"/>
        <v>602304.67500000005</v>
      </c>
      <c r="G94" s="101">
        <v>159100</v>
      </c>
      <c r="H94" s="101">
        <v>23143</v>
      </c>
      <c r="J94" s="101">
        <v>184100</v>
      </c>
      <c r="K94" s="101">
        <v>38715</v>
      </c>
    </row>
    <row r="95" spans="1:11" ht="11.25" x14ac:dyDescent="0.2">
      <c r="G95" s="101">
        <v>159200</v>
      </c>
      <c r="H95" s="101">
        <v>22960</v>
      </c>
      <c r="J95" s="101">
        <v>184200</v>
      </c>
      <c r="K95" s="101">
        <v>38485</v>
      </c>
    </row>
    <row r="96" spans="1:11" ht="11.25" x14ac:dyDescent="0.2">
      <c r="A96" s="92">
        <v>44409</v>
      </c>
      <c r="G96" s="101">
        <v>159300</v>
      </c>
      <c r="H96" s="101">
        <v>22778</v>
      </c>
      <c r="J96" s="101">
        <v>184300</v>
      </c>
      <c r="K96" s="101">
        <v>38256</v>
      </c>
    </row>
    <row r="97" spans="1:11" ht="11.25" x14ac:dyDescent="0.2">
      <c r="A97" s="81">
        <f>A1/12*MONTH($A$96)</f>
        <v>-66666666</v>
      </c>
      <c r="B97" s="81">
        <f>B1/12*MONTH($A$96)</f>
        <v>0</v>
      </c>
      <c r="C97" s="81">
        <f>C1/12*MONTH($A$96)</f>
        <v>0</v>
      </c>
      <c r="D97" s="1">
        <f>$D$1</f>
        <v>0</v>
      </c>
      <c r="E97" s="81">
        <v>0</v>
      </c>
      <c r="G97" s="101">
        <v>159400</v>
      </c>
      <c r="H97" s="101">
        <v>22595</v>
      </c>
      <c r="J97" s="101">
        <v>184400</v>
      </c>
      <c r="K97" s="101">
        <v>38027</v>
      </c>
    </row>
    <row r="98" spans="1:11" ht="11.25" x14ac:dyDescent="0.2">
      <c r="A98" s="81">
        <f t="shared" ref="A98:C98" si="67">A2/12*MONTH($A$96)</f>
        <v>0</v>
      </c>
      <c r="B98" s="81">
        <f t="shared" si="67"/>
        <v>43021.760000000002</v>
      </c>
      <c r="C98" s="81">
        <f t="shared" si="67"/>
        <v>0</v>
      </c>
      <c r="D98" s="1">
        <f>$D$2</f>
        <v>0.05</v>
      </c>
      <c r="E98" s="81">
        <v>0</v>
      </c>
      <c r="G98" s="101">
        <v>159500</v>
      </c>
      <c r="H98" s="101">
        <v>22413</v>
      </c>
      <c r="J98" s="101">
        <v>184500</v>
      </c>
      <c r="K98" s="101">
        <v>37799</v>
      </c>
    </row>
    <row r="99" spans="1:11" ht="11.25" x14ac:dyDescent="0.2">
      <c r="A99" s="81">
        <f t="shared" ref="A99:C99" si="68">A3/12*MONTH($A$96)</f>
        <v>43021.760000000002</v>
      </c>
      <c r="B99" s="81">
        <f t="shared" si="68"/>
        <v>86043.526666666658</v>
      </c>
      <c r="C99" s="81">
        <f t="shared" si="68"/>
        <v>2151.0880000000002</v>
      </c>
      <c r="D99" s="1">
        <f>$D$3</f>
        <v>0.09</v>
      </c>
      <c r="E99" s="81">
        <f>A99</f>
        <v>43021.760000000002</v>
      </c>
      <c r="G99" s="101">
        <v>159600</v>
      </c>
      <c r="H99" s="101">
        <v>22231</v>
      </c>
      <c r="J99" s="101">
        <v>184600</v>
      </c>
      <c r="K99" s="101">
        <v>37571</v>
      </c>
    </row>
    <row r="100" spans="1:11" ht="11.25" x14ac:dyDescent="0.2">
      <c r="A100" s="81">
        <f t="shared" ref="A100:C100" si="69">A4/12*MONTH($A$96)</f>
        <v>86043.526666666658</v>
      </c>
      <c r="B100" s="81">
        <f t="shared" si="69"/>
        <v>129065.28666666667</v>
      </c>
      <c r="C100" s="81">
        <f t="shared" si="69"/>
        <v>6023.0469999999996</v>
      </c>
      <c r="D100" s="1">
        <f>$D$4</f>
        <v>0.12</v>
      </c>
      <c r="E100" s="81">
        <f t="shared" ref="E100:E106" si="70">A100</f>
        <v>86043.526666666658</v>
      </c>
      <c r="G100" s="101">
        <v>159700</v>
      </c>
      <c r="H100" s="101">
        <v>22050</v>
      </c>
      <c r="J100" s="101">
        <v>184700</v>
      </c>
      <c r="K100" s="101">
        <v>37343</v>
      </c>
    </row>
    <row r="101" spans="1:11" ht="11.25" x14ac:dyDescent="0.2">
      <c r="A101" s="81">
        <f t="shared" ref="A101:C101" si="71">A5/12*MONTH($A$96)</f>
        <v>129065.28666666667</v>
      </c>
      <c r="B101" s="81">
        <f t="shared" si="71"/>
        <v>172087.05333333332</v>
      </c>
      <c r="C101" s="81">
        <f t="shared" si="71"/>
        <v>11185.6582</v>
      </c>
      <c r="D101" s="1">
        <f>$D$5</f>
        <v>0.15</v>
      </c>
      <c r="E101" s="81">
        <f t="shared" si="70"/>
        <v>129065.28666666667</v>
      </c>
      <c r="G101" s="101">
        <v>159800</v>
      </c>
      <c r="H101" s="101">
        <v>21869</v>
      </c>
      <c r="J101" s="101">
        <v>184800</v>
      </c>
      <c r="K101" s="101">
        <v>37116</v>
      </c>
    </row>
    <row r="102" spans="1:11" ht="11.25" x14ac:dyDescent="0.2">
      <c r="A102" s="81">
        <f t="shared" ref="A102:C102" si="72">A6/12*MONTH($A$96)</f>
        <v>172087.05333333332</v>
      </c>
      <c r="B102" s="81">
        <f t="shared" si="72"/>
        <v>258130.57333333333</v>
      </c>
      <c r="C102" s="81">
        <f t="shared" si="72"/>
        <v>17638.923200000001</v>
      </c>
      <c r="D102" s="1">
        <f>$D$6</f>
        <v>0.19</v>
      </c>
      <c r="E102" s="81">
        <f t="shared" si="70"/>
        <v>172087.05333333332</v>
      </c>
      <c r="G102" s="101">
        <v>159900</v>
      </c>
      <c r="H102" s="101">
        <v>21688</v>
      </c>
      <c r="J102" s="101">
        <v>184900</v>
      </c>
      <c r="K102" s="101">
        <v>36889</v>
      </c>
    </row>
    <row r="103" spans="1:11" ht="11.25" x14ac:dyDescent="0.2">
      <c r="A103" s="81">
        <f t="shared" ref="A103:C103" si="73">A7/12*MONTH($A$96)</f>
        <v>258130.57333333333</v>
      </c>
      <c r="B103" s="81">
        <f t="shared" si="73"/>
        <v>344174.09333333332</v>
      </c>
      <c r="C103" s="81">
        <f t="shared" si="73"/>
        <v>33987.192000000003</v>
      </c>
      <c r="D103" s="1">
        <f>$D$7</f>
        <v>0.23</v>
      </c>
      <c r="E103" s="81">
        <f t="shared" si="70"/>
        <v>258130.57333333333</v>
      </c>
      <c r="G103" s="101">
        <v>160000</v>
      </c>
      <c r="H103" s="101">
        <v>21507</v>
      </c>
      <c r="J103" s="101">
        <v>185000</v>
      </c>
      <c r="K103" s="101">
        <v>36662</v>
      </c>
    </row>
    <row r="104" spans="1:11" ht="11.25" x14ac:dyDescent="0.2">
      <c r="A104" s="81">
        <f t="shared" ref="A104:C104" si="74">A8/12*MONTH($A$96)</f>
        <v>344174.09333333332</v>
      </c>
      <c r="B104" s="81">
        <f t="shared" si="74"/>
        <v>516261.13999999996</v>
      </c>
      <c r="C104" s="81">
        <f t="shared" si="74"/>
        <v>53777.201600000008</v>
      </c>
      <c r="D104" s="1">
        <f>$D$8</f>
        <v>0.27</v>
      </c>
      <c r="E104" s="81">
        <f t="shared" si="70"/>
        <v>344174.09333333332</v>
      </c>
      <c r="G104" s="101">
        <v>160100</v>
      </c>
      <c r="H104" s="101">
        <v>21327</v>
      </c>
      <c r="J104" s="101">
        <v>185100</v>
      </c>
      <c r="K104" s="101">
        <v>36436</v>
      </c>
    </row>
    <row r="105" spans="1:11" ht="11.25" x14ac:dyDescent="0.2">
      <c r="A105" s="81">
        <f t="shared" ref="A105:C105" si="75">A9/12*MONTH($A$96)</f>
        <v>516261.13999999996</v>
      </c>
      <c r="B105" s="81">
        <f t="shared" si="75"/>
        <v>688348.20000000007</v>
      </c>
      <c r="C105" s="81">
        <f t="shared" si="75"/>
        <v>100240.70419999999</v>
      </c>
      <c r="D105" s="1">
        <f>$D$9</f>
        <v>0.31</v>
      </c>
      <c r="E105" s="81">
        <f t="shared" si="70"/>
        <v>516261.13999999996</v>
      </c>
      <c r="G105" s="101">
        <v>160200</v>
      </c>
      <c r="H105" s="101">
        <v>21147</v>
      </c>
      <c r="J105" s="101">
        <v>185200</v>
      </c>
      <c r="K105" s="101">
        <v>36210</v>
      </c>
    </row>
    <row r="106" spans="1:11" ht="11.25" x14ac:dyDescent="0.2">
      <c r="A106" s="81">
        <f t="shared" ref="A106:C106" si="76">A10/12*MONTH($A$96)</f>
        <v>688348.20000000007</v>
      </c>
      <c r="B106" s="81">
        <f t="shared" si="76"/>
        <v>6666666666</v>
      </c>
      <c r="C106" s="81">
        <f t="shared" si="76"/>
        <v>153587.69280000002</v>
      </c>
      <c r="D106" s="1">
        <f>$D$10</f>
        <v>0.35</v>
      </c>
      <c r="E106" s="81">
        <f t="shared" si="70"/>
        <v>688348.20000000007</v>
      </c>
      <c r="G106" s="101">
        <v>160300</v>
      </c>
      <c r="H106" s="101">
        <v>20968</v>
      </c>
      <c r="J106" s="101">
        <v>185300</v>
      </c>
      <c r="K106" s="101">
        <v>35985</v>
      </c>
    </row>
    <row r="107" spans="1:11" ht="11.25" x14ac:dyDescent="0.2">
      <c r="G107" s="101">
        <v>160400</v>
      </c>
      <c r="H107" s="101">
        <v>20788</v>
      </c>
      <c r="J107" s="101">
        <v>185400</v>
      </c>
      <c r="K107" s="101">
        <v>35760</v>
      </c>
    </row>
    <row r="108" spans="1:11" ht="11.25" x14ac:dyDescent="0.2">
      <c r="A108" s="92">
        <v>44440</v>
      </c>
      <c r="G108" s="101">
        <v>160500</v>
      </c>
      <c r="H108" s="101">
        <v>20609</v>
      </c>
      <c r="J108" s="101">
        <v>185500</v>
      </c>
      <c r="K108" s="101">
        <v>35535</v>
      </c>
    </row>
    <row r="109" spans="1:11" ht="11.25" x14ac:dyDescent="0.2">
      <c r="A109" s="81">
        <f>A1/12*MONTH($A$108)</f>
        <v>-74999999.25</v>
      </c>
      <c r="B109" s="81">
        <f>B1/12*MONTH($A$108)</f>
        <v>0</v>
      </c>
      <c r="C109" s="81">
        <f>C1/12*MONTH($A$108)</f>
        <v>0</v>
      </c>
      <c r="D109" s="1">
        <f>$D$1</f>
        <v>0</v>
      </c>
      <c r="E109" s="81">
        <v>0</v>
      </c>
      <c r="G109" s="101">
        <v>160600</v>
      </c>
      <c r="H109" s="101">
        <v>20430</v>
      </c>
      <c r="J109" s="101">
        <v>185600</v>
      </c>
      <c r="K109" s="101">
        <v>35311</v>
      </c>
    </row>
    <row r="110" spans="1:11" ht="11.25" x14ac:dyDescent="0.2">
      <c r="A110" s="81">
        <f t="shared" ref="A110:C110" si="77">A2/12*MONTH($A$108)</f>
        <v>0</v>
      </c>
      <c r="B110" s="81">
        <f t="shared" si="77"/>
        <v>48399.48</v>
      </c>
      <c r="C110" s="81">
        <f t="shared" si="77"/>
        <v>0</v>
      </c>
      <c r="D110" s="1">
        <f>$D$2</f>
        <v>0.05</v>
      </c>
      <c r="E110" s="81">
        <v>0</v>
      </c>
      <c r="G110" s="101">
        <v>160700</v>
      </c>
      <c r="H110" s="101">
        <v>20252</v>
      </c>
      <c r="J110" s="101">
        <v>185700</v>
      </c>
      <c r="K110" s="101">
        <v>35087</v>
      </c>
    </row>
    <row r="111" spans="1:11" ht="11.25" x14ac:dyDescent="0.2">
      <c r="A111" s="81">
        <f t="shared" ref="A111:C111" si="78">A3/12*MONTH($A$108)</f>
        <v>48399.48</v>
      </c>
      <c r="B111" s="81">
        <f t="shared" si="78"/>
        <v>96798.967499999984</v>
      </c>
      <c r="C111" s="81">
        <f t="shared" si="78"/>
        <v>2419.9740000000002</v>
      </c>
      <c r="D111" s="1">
        <f>$D$3</f>
        <v>0.09</v>
      </c>
      <c r="E111" s="81">
        <f>A111</f>
        <v>48399.48</v>
      </c>
      <c r="G111" s="101">
        <v>160800</v>
      </c>
      <c r="H111" s="101">
        <v>20074</v>
      </c>
      <c r="J111" s="101">
        <v>185800</v>
      </c>
      <c r="K111" s="101">
        <v>34863</v>
      </c>
    </row>
    <row r="112" spans="1:11" ht="11.25" x14ac:dyDescent="0.2">
      <c r="A112" s="81">
        <f t="shared" ref="A112:C112" si="79">A4/12*MONTH($A$108)</f>
        <v>96798.967499999984</v>
      </c>
      <c r="B112" s="81">
        <f t="shared" si="79"/>
        <v>145198.44750000001</v>
      </c>
      <c r="C112" s="81">
        <f t="shared" si="79"/>
        <v>6775.9278749999994</v>
      </c>
      <c r="D112" s="1">
        <f>$D$4</f>
        <v>0.12</v>
      </c>
      <c r="E112" s="81">
        <f t="shared" ref="E112:E118" si="80">A112</f>
        <v>96798.967499999984</v>
      </c>
      <c r="G112" s="101">
        <v>160900</v>
      </c>
      <c r="H112" s="101">
        <v>19896</v>
      </c>
      <c r="J112" s="101">
        <v>185900</v>
      </c>
      <c r="K112" s="101">
        <v>34640</v>
      </c>
    </row>
    <row r="113" spans="1:11" ht="11.25" x14ac:dyDescent="0.2">
      <c r="A113" s="81">
        <f t="shared" ref="A113:C113" si="81">A5/12*MONTH($A$108)</f>
        <v>145198.44750000001</v>
      </c>
      <c r="B113" s="81">
        <f t="shared" si="81"/>
        <v>193597.93499999997</v>
      </c>
      <c r="C113" s="81">
        <f t="shared" si="81"/>
        <v>12583.865475000001</v>
      </c>
      <c r="D113" s="1">
        <f>$D$5</f>
        <v>0.15</v>
      </c>
      <c r="E113" s="81">
        <f t="shared" si="80"/>
        <v>145198.44750000001</v>
      </c>
      <c r="G113" s="101">
        <v>161000</v>
      </c>
      <c r="H113" s="101">
        <v>19718</v>
      </c>
      <c r="J113" s="101">
        <v>186000</v>
      </c>
      <c r="K113" s="101">
        <v>34417</v>
      </c>
    </row>
    <row r="114" spans="1:11" ht="11.25" x14ac:dyDescent="0.2">
      <c r="A114" s="81">
        <f t="shared" ref="A114:C114" si="82">A6/12*MONTH($A$108)</f>
        <v>193597.93499999997</v>
      </c>
      <c r="B114" s="81">
        <f t="shared" si="82"/>
        <v>290396.89500000002</v>
      </c>
      <c r="C114" s="81">
        <f t="shared" si="82"/>
        <v>19843.7886</v>
      </c>
      <c r="D114" s="1">
        <f>$D$6</f>
        <v>0.19</v>
      </c>
      <c r="E114" s="81">
        <f t="shared" si="80"/>
        <v>193597.93499999997</v>
      </c>
      <c r="G114" s="101">
        <v>161100</v>
      </c>
      <c r="H114" s="101">
        <v>19541</v>
      </c>
      <c r="J114" s="101">
        <v>186100</v>
      </c>
      <c r="K114" s="101">
        <v>34194</v>
      </c>
    </row>
    <row r="115" spans="1:11" ht="11.25" x14ac:dyDescent="0.2">
      <c r="A115" s="81">
        <f t="shared" ref="A115:C115" si="83">A7/12*MONTH($A$108)</f>
        <v>290396.89500000002</v>
      </c>
      <c r="B115" s="81">
        <f t="shared" si="83"/>
        <v>387195.85499999998</v>
      </c>
      <c r="C115" s="81">
        <f t="shared" si="83"/>
        <v>38235.591</v>
      </c>
      <c r="D115" s="1">
        <f>$D$7</f>
        <v>0.23</v>
      </c>
      <c r="E115" s="81">
        <f t="shared" si="80"/>
        <v>290396.89500000002</v>
      </c>
      <c r="G115" s="101">
        <v>161200</v>
      </c>
      <c r="H115" s="101">
        <v>19364</v>
      </c>
      <c r="J115" s="101">
        <v>186200</v>
      </c>
      <c r="K115" s="101">
        <v>33972</v>
      </c>
    </row>
    <row r="116" spans="1:11" ht="11.25" x14ac:dyDescent="0.2">
      <c r="A116" s="81">
        <f t="shared" ref="A116:C116" si="84">A8/12*MONTH($A$108)</f>
        <v>387195.85499999998</v>
      </c>
      <c r="B116" s="81">
        <f t="shared" si="84"/>
        <v>580793.78249999997</v>
      </c>
      <c r="C116" s="81">
        <f t="shared" si="84"/>
        <v>60499.351800000011</v>
      </c>
      <c r="D116" s="1">
        <f>$D$8</f>
        <v>0.27</v>
      </c>
      <c r="E116" s="81">
        <f t="shared" si="80"/>
        <v>387195.85499999998</v>
      </c>
      <c r="G116" s="101">
        <v>161300</v>
      </c>
      <c r="H116" s="101">
        <v>19187</v>
      </c>
      <c r="J116" s="101">
        <v>186300</v>
      </c>
      <c r="K116" s="101">
        <v>33750</v>
      </c>
    </row>
    <row r="117" spans="1:11" ht="11.25" x14ac:dyDescent="0.2">
      <c r="A117" s="81">
        <f t="shared" ref="A117:C117" si="85">A9/12*MONTH($A$108)</f>
        <v>580793.78249999997</v>
      </c>
      <c r="B117" s="81">
        <f t="shared" si="85"/>
        <v>774391.72500000009</v>
      </c>
      <c r="C117" s="81">
        <f t="shared" si="85"/>
        <v>112770.792225</v>
      </c>
      <c r="D117" s="1">
        <f>$D$9</f>
        <v>0.31</v>
      </c>
      <c r="E117" s="81">
        <f t="shared" si="80"/>
        <v>580793.78249999997</v>
      </c>
      <c r="G117" s="101">
        <v>161400</v>
      </c>
      <c r="H117" s="101">
        <v>19010</v>
      </c>
      <c r="J117" s="101">
        <v>186400</v>
      </c>
      <c r="K117" s="101">
        <v>33529</v>
      </c>
    </row>
    <row r="118" spans="1:11" ht="11.25" x14ac:dyDescent="0.2">
      <c r="A118" s="81">
        <f t="shared" ref="A118:C118" si="86">A10/12*MONTH($A$108)</f>
        <v>774391.72500000009</v>
      </c>
      <c r="B118" s="81">
        <f t="shared" si="86"/>
        <v>7499999999.25</v>
      </c>
      <c r="C118" s="81">
        <f t="shared" si="86"/>
        <v>172786.15440000003</v>
      </c>
      <c r="D118" s="1">
        <f>$D$10</f>
        <v>0.35</v>
      </c>
      <c r="E118" s="81">
        <f t="shared" si="80"/>
        <v>774391.72500000009</v>
      </c>
      <c r="G118" s="101">
        <v>161500</v>
      </c>
      <c r="H118" s="101">
        <v>18834</v>
      </c>
      <c r="J118" s="101">
        <v>186500</v>
      </c>
      <c r="K118" s="101">
        <v>33307</v>
      </c>
    </row>
    <row r="119" spans="1:11" ht="11.25" x14ac:dyDescent="0.2">
      <c r="G119" s="101">
        <v>161600</v>
      </c>
      <c r="H119" s="101">
        <v>18658</v>
      </c>
      <c r="J119" s="101">
        <v>186600</v>
      </c>
      <c r="K119" s="101">
        <v>33086</v>
      </c>
    </row>
    <row r="120" spans="1:11" ht="11.25" x14ac:dyDescent="0.2">
      <c r="A120" s="92">
        <v>44470</v>
      </c>
      <c r="G120" s="101">
        <v>161700</v>
      </c>
      <c r="H120" s="101">
        <v>18482</v>
      </c>
      <c r="J120" s="101">
        <v>186700</v>
      </c>
      <c r="K120" s="101">
        <v>32866</v>
      </c>
    </row>
    <row r="121" spans="1:11" ht="11.25" x14ac:dyDescent="0.2">
      <c r="A121" s="81">
        <f>A1/12*MONTH($A$120)</f>
        <v>-83333332.5</v>
      </c>
      <c r="B121" s="81">
        <f>B1/12*MONTH($A$120)</f>
        <v>0</v>
      </c>
      <c r="C121" s="81">
        <f>C1/12*MONTH($A$120)</f>
        <v>0</v>
      </c>
      <c r="D121" s="1">
        <f>$D$1</f>
        <v>0</v>
      </c>
      <c r="E121" s="81">
        <v>0</v>
      </c>
      <c r="G121" s="101">
        <v>161800</v>
      </c>
      <c r="H121" s="101">
        <v>18307</v>
      </c>
      <c r="J121" s="101">
        <v>186800</v>
      </c>
      <c r="K121" s="101">
        <v>32646</v>
      </c>
    </row>
    <row r="122" spans="1:11" ht="11.25" x14ac:dyDescent="0.2">
      <c r="A122" s="81">
        <f t="shared" ref="A122:C122" si="87">A2/12*MONTH($A$120)</f>
        <v>0</v>
      </c>
      <c r="B122" s="81">
        <f t="shared" si="87"/>
        <v>53777.200000000004</v>
      </c>
      <c r="C122" s="81">
        <f t="shared" si="87"/>
        <v>0</v>
      </c>
      <c r="D122" s="1">
        <f>$D$2</f>
        <v>0.05</v>
      </c>
      <c r="E122" s="81">
        <v>0</v>
      </c>
      <c r="G122" s="101">
        <v>161900</v>
      </c>
      <c r="H122" s="101">
        <v>18132</v>
      </c>
      <c r="J122" s="101">
        <v>186900</v>
      </c>
      <c r="K122" s="101">
        <v>32426</v>
      </c>
    </row>
    <row r="123" spans="1:11" ht="11.25" x14ac:dyDescent="0.2">
      <c r="A123" s="81">
        <f t="shared" ref="A123:C123" si="88">A3/12*MONTH($A$120)</f>
        <v>53777.200000000004</v>
      </c>
      <c r="B123" s="81">
        <f t="shared" si="88"/>
        <v>107554.40833333333</v>
      </c>
      <c r="C123" s="81">
        <f t="shared" si="88"/>
        <v>2688.86</v>
      </c>
      <c r="D123" s="1">
        <f>$D$3</f>
        <v>0.09</v>
      </c>
      <c r="E123" s="81">
        <f>A123</f>
        <v>53777.200000000004</v>
      </c>
      <c r="G123" s="101">
        <v>162000</v>
      </c>
      <c r="H123" s="101">
        <v>17957</v>
      </c>
      <c r="J123" s="101">
        <v>187000</v>
      </c>
      <c r="K123" s="101">
        <v>32206</v>
      </c>
    </row>
    <row r="124" spans="1:11" ht="11.25" x14ac:dyDescent="0.2">
      <c r="A124" s="81">
        <f t="shared" ref="A124:C124" si="89">A4/12*MONTH($A$120)</f>
        <v>107554.40833333333</v>
      </c>
      <c r="B124" s="81">
        <f t="shared" si="89"/>
        <v>161331.60833333334</v>
      </c>
      <c r="C124" s="81">
        <f t="shared" si="89"/>
        <v>7528.8087499999992</v>
      </c>
      <c r="D124" s="1">
        <f>$D$4</f>
        <v>0.12</v>
      </c>
      <c r="E124" s="81">
        <f t="shared" ref="E124:E130" si="90">A124</f>
        <v>107554.40833333333</v>
      </c>
      <c r="G124" s="101">
        <v>162100</v>
      </c>
      <c r="H124" s="101">
        <v>17782</v>
      </c>
      <c r="J124" s="101">
        <v>187100</v>
      </c>
      <c r="K124" s="101">
        <v>31987</v>
      </c>
    </row>
    <row r="125" spans="1:11" ht="11.25" x14ac:dyDescent="0.2">
      <c r="A125" s="81">
        <f t="shared" ref="A125:C125" si="91">A5/12*MONTH($A$120)</f>
        <v>161331.60833333334</v>
      </c>
      <c r="B125" s="81">
        <f t="shared" si="91"/>
        <v>215108.81666666665</v>
      </c>
      <c r="C125" s="81">
        <f t="shared" si="91"/>
        <v>13982.072749999999</v>
      </c>
      <c r="D125" s="1">
        <f>$D$5</f>
        <v>0.15</v>
      </c>
      <c r="E125" s="81">
        <f t="shared" si="90"/>
        <v>161331.60833333334</v>
      </c>
      <c r="G125" s="101">
        <v>162200</v>
      </c>
      <c r="H125" s="101">
        <v>17607</v>
      </c>
      <c r="J125" s="101">
        <v>187200</v>
      </c>
      <c r="K125" s="101">
        <v>31768</v>
      </c>
    </row>
    <row r="126" spans="1:11" ht="11.25" x14ac:dyDescent="0.2">
      <c r="A126" s="81">
        <f t="shared" ref="A126:C126" si="92">A6/12*MONTH($A$120)</f>
        <v>215108.81666666665</v>
      </c>
      <c r="B126" s="81">
        <f t="shared" si="92"/>
        <v>322663.21666666667</v>
      </c>
      <c r="C126" s="81">
        <f t="shared" si="92"/>
        <v>22048.654000000002</v>
      </c>
      <c r="D126" s="1">
        <f>$D$6</f>
        <v>0.19</v>
      </c>
      <c r="E126" s="81">
        <f t="shared" si="90"/>
        <v>215108.81666666665</v>
      </c>
      <c r="G126" s="101">
        <v>162300</v>
      </c>
      <c r="H126" s="101">
        <v>17433</v>
      </c>
      <c r="J126" s="101">
        <v>187300</v>
      </c>
      <c r="K126" s="101">
        <v>31549</v>
      </c>
    </row>
    <row r="127" spans="1:11" ht="11.25" x14ac:dyDescent="0.2">
      <c r="A127" s="81">
        <f t="shared" ref="A127:C127" si="93">A7/12*MONTH($A$120)</f>
        <v>322663.21666666667</v>
      </c>
      <c r="B127" s="81">
        <f t="shared" si="93"/>
        <v>430217.61666666664</v>
      </c>
      <c r="C127" s="81">
        <f t="shared" si="93"/>
        <v>42483.990000000005</v>
      </c>
      <c r="D127" s="1">
        <f>$D$7</f>
        <v>0.23</v>
      </c>
      <c r="E127" s="81">
        <f t="shared" si="90"/>
        <v>322663.21666666667</v>
      </c>
      <c r="G127" s="101">
        <v>162400</v>
      </c>
      <c r="H127" s="101">
        <v>17259</v>
      </c>
      <c r="J127" s="101">
        <v>187400</v>
      </c>
      <c r="K127" s="101">
        <v>31330</v>
      </c>
    </row>
    <row r="128" spans="1:11" ht="11.25" x14ac:dyDescent="0.2">
      <c r="A128" s="81">
        <f t="shared" ref="A128:C128" si="94">A8/12*MONTH($A$120)</f>
        <v>430217.61666666664</v>
      </c>
      <c r="B128" s="81">
        <f t="shared" si="94"/>
        <v>645326.42499999993</v>
      </c>
      <c r="C128" s="81">
        <f t="shared" si="94"/>
        <v>67221.502000000008</v>
      </c>
      <c r="D128" s="1">
        <f>$D$8</f>
        <v>0.27</v>
      </c>
      <c r="E128" s="81">
        <f t="shared" si="90"/>
        <v>430217.61666666664</v>
      </c>
      <c r="G128" s="101">
        <v>162500</v>
      </c>
      <c r="H128" s="101">
        <v>17085</v>
      </c>
      <c r="J128" s="101">
        <v>187500</v>
      </c>
      <c r="K128" s="101">
        <v>31112</v>
      </c>
    </row>
    <row r="129" spans="1:11" ht="11.25" x14ac:dyDescent="0.2">
      <c r="A129" s="81">
        <f t="shared" ref="A129:C129" si="95">A9/12*MONTH($A$120)</f>
        <v>645326.42499999993</v>
      </c>
      <c r="B129" s="81">
        <f t="shared" si="95"/>
        <v>860435.25000000012</v>
      </c>
      <c r="C129" s="81">
        <f t="shared" si="95"/>
        <v>125300.88024999999</v>
      </c>
      <c r="D129" s="1">
        <f>$D$9</f>
        <v>0.31</v>
      </c>
      <c r="E129" s="81">
        <f t="shared" si="90"/>
        <v>645326.42499999993</v>
      </c>
      <c r="G129" s="101">
        <v>162600</v>
      </c>
      <c r="H129" s="101">
        <v>16911</v>
      </c>
      <c r="J129" s="101">
        <v>187600</v>
      </c>
      <c r="K129" s="101">
        <v>30894</v>
      </c>
    </row>
    <row r="130" spans="1:11" ht="11.25" x14ac:dyDescent="0.2">
      <c r="A130" s="81">
        <f t="shared" ref="A130:C130" si="96">A10/12*MONTH($A$120)</f>
        <v>860435.25000000012</v>
      </c>
      <c r="B130" s="81">
        <f t="shared" si="96"/>
        <v>8333333332.5</v>
      </c>
      <c r="C130" s="81">
        <f t="shared" si="96"/>
        <v>191984.61600000004</v>
      </c>
      <c r="D130" s="1">
        <f>$D$10</f>
        <v>0.35</v>
      </c>
      <c r="E130" s="81">
        <f t="shared" si="90"/>
        <v>860435.25000000012</v>
      </c>
      <c r="G130" s="101">
        <v>162700</v>
      </c>
      <c r="H130" s="101">
        <v>16738</v>
      </c>
      <c r="J130" s="101">
        <v>187700</v>
      </c>
      <c r="K130" s="101">
        <v>30677</v>
      </c>
    </row>
    <row r="131" spans="1:11" ht="11.25" x14ac:dyDescent="0.2">
      <c r="G131" s="101">
        <v>162800</v>
      </c>
      <c r="H131" s="101">
        <v>16565</v>
      </c>
      <c r="J131" s="101">
        <v>187800</v>
      </c>
      <c r="K131" s="101">
        <v>30460</v>
      </c>
    </row>
    <row r="132" spans="1:11" ht="11.25" x14ac:dyDescent="0.2">
      <c r="A132" s="92">
        <v>44501</v>
      </c>
      <c r="G132" s="101">
        <v>162900</v>
      </c>
      <c r="H132" s="101">
        <v>16392</v>
      </c>
      <c r="J132" s="101">
        <v>187900</v>
      </c>
      <c r="K132" s="101">
        <v>30243</v>
      </c>
    </row>
    <row r="133" spans="1:11" ht="11.25" x14ac:dyDescent="0.2">
      <c r="A133" s="81">
        <f>A1/12*MONTH($A$132)</f>
        <v>-91666665.75</v>
      </c>
      <c r="B133" s="81">
        <f>B1/12*MONTH($A$132)</f>
        <v>0</v>
      </c>
      <c r="C133" s="81">
        <f>C1/12*MONTH($A$132)</f>
        <v>0</v>
      </c>
      <c r="D133" s="1">
        <f>$D$1</f>
        <v>0</v>
      </c>
      <c r="E133" s="81">
        <v>0</v>
      </c>
      <c r="G133" s="101">
        <v>163000</v>
      </c>
      <c r="H133" s="101">
        <v>16219.000000000002</v>
      </c>
      <c r="J133" s="101">
        <v>188000</v>
      </c>
      <c r="K133" s="101">
        <v>30026</v>
      </c>
    </row>
    <row r="134" spans="1:11" ht="11.25" x14ac:dyDescent="0.2">
      <c r="A134" s="81">
        <f t="shared" ref="A134:C134" si="97">A2/12*MONTH($A$132)</f>
        <v>0</v>
      </c>
      <c r="B134" s="81">
        <f t="shared" si="97"/>
        <v>59154.920000000006</v>
      </c>
      <c r="C134" s="81">
        <f t="shared" si="97"/>
        <v>0</v>
      </c>
      <c r="D134" s="1">
        <f>$D$2</f>
        <v>0.05</v>
      </c>
      <c r="E134" s="81">
        <v>0</v>
      </c>
      <c r="G134" s="101">
        <v>163100</v>
      </c>
      <c r="H134" s="101">
        <v>16047</v>
      </c>
      <c r="J134" s="101">
        <v>188100</v>
      </c>
      <c r="K134" s="101">
        <v>29810</v>
      </c>
    </row>
    <row r="135" spans="1:11" ht="11.25" x14ac:dyDescent="0.2">
      <c r="A135" s="81">
        <f t="shared" ref="A135:C135" si="98">A3/12*MONTH($A$132)</f>
        <v>59154.920000000006</v>
      </c>
      <c r="B135" s="81">
        <f t="shared" si="98"/>
        <v>118309.84916666665</v>
      </c>
      <c r="C135" s="81">
        <f t="shared" si="98"/>
        <v>2957.7460000000001</v>
      </c>
      <c r="D135" s="1">
        <f>$D$3</f>
        <v>0.09</v>
      </c>
      <c r="E135" s="81">
        <f>A135</f>
        <v>59154.920000000006</v>
      </c>
      <c r="G135" s="101">
        <v>163200</v>
      </c>
      <c r="H135" s="101">
        <v>15875</v>
      </c>
      <c r="J135" s="101">
        <v>188200</v>
      </c>
      <c r="K135" s="101">
        <v>29593</v>
      </c>
    </row>
    <row r="136" spans="1:11" ht="11.25" x14ac:dyDescent="0.2">
      <c r="A136" s="81">
        <f t="shared" ref="A136:C136" si="99">A4/12*MONTH($A$132)</f>
        <v>118309.84916666665</v>
      </c>
      <c r="B136" s="81">
        <f t="shared" si="99"/>
        <v>177464.76916666667</v>
      </c>
      <c r="C136" s="81">
        <f t="shared" si="99"/>
        <v>8281.6896249999991</v>
      </c>
      <c r="D136" s="1">
        <f>$D$4</f>
        <v>0.12</v>
      </c>
      <c r="E136" s="81">
        <f t="shared" ref="E136:E142" si="100">A136</f>
        <v>118309.84916666665</v>
      </c>
      <c r="G136" s="101">
        <v>163300</v>
      </c>
      <c r="H136" s="101">
        <v>15703</v>
      </c>
      <c r="J136" s="101">
        <v>188300</v>
      </c>
      <c r="K136" s="101">
        <v>29378</v>
      </c>
    </row>
    <row r="137" spans="1:11" ht="11.25" x14ac:dyDescent="0.2">
      <c r="A137" s="81">
        <f t="shared" ref="A137:C137" si="101">A5/12*MONTH($A$132)</f>
        <v>177464.76916666667</v>
      </c>
      <c r="B137" s="81">
        <f t="shared" si="101"/>
        <v>236619.6983333333</v>
      </c>
      <c r="C137" s="81">
        <f t="shared" si="101"/>
        <v>15380.280025</v>
      </c>
      <c r="D137" s="1">
        <f>$D$5</f>
        <v>0.15</v>
      </c>
      <c r="E137" s="81">
        <f t="shared" si="100"/>
        <v>177464.76916666667</v>
      </c>
      <c r="G137" s="101">
        <v>163400</v>
      </c>
      <c r="H137" s="101">
        <v>15531</v>
      </c>
      <c r="J137" s="101">
        <v>188400</v>
      </c>
      <c r="K137" s="101">
        <v>29162</v>
      </c>
    </row>
    <row r="138" spans="1:11" ht="11.25" x14ac:dyDescent="0.2">
      <c r="A138" s="81">
        <f t="shared" ref="A138:C138" si="102">A6/12*MONTH($A$132)</f>
        <v>236619.6983333333</v>
      </c>
      <c r="B138" s="81">
        <f t="shared" si="102"/>
        <v>354929.53833333333</v>
      </c>
      <c r="C138" s="81">
        <f t="shared" si="102"/>
        <v>24253.519400000001</v>
      </c>
      <c r="D138" s="1">
        <f>$D$6</f>
        <v>0.19</v>
      </c>
      <c r="E138" s="81">
        <f t="shared" si="100"/>
        <v>236619.6983333333</v>
      </c>
      <c r="G138" s="101">
        <v>163500</v>
      </c>
      <c r="H138" s="101">
        <v>15359</v>
      </c>
      <c r="J138" s="101">
        <v>188500</v>
      </c>
      <c r="K138" s="101">
        <v>28947</v>
      </c>
    </row>
    <row r="139" spans="1:11" ht="11.25" x14ac:dyDescent="0.2">
      <c r="A139" s="81">
        <f t="shared" ref="A139:C139" si="103">A7/12*MONTH($A$132)</f>
        <v>354929.53833333333</v>
      </c>
      <c r="B139" s="81">
        <f t="shared" si="103"/>
        <v>473239.3783333333</v>
      </c>
      <c r="C139" s="81">
        <f t="shared" si="103"/>
        <v>46732.389000000003</v>
      </c>
      <c r="D139" s="1">
        <f>$D$7</f>
        <v>0.23</v>
      </c>
      <c r="E139" s="81">
        <f t="shared" si="100"/>
        <v>354929.53833333333</v>
      </c>
      <c r="G139" s="101">
        <v>163600</v>
      </c>
      <c r="H139" s="101">
        <v>15188</v>
      </c>
      <c r="J139" s="101">
        <v>188600</v>
      </c>
      <c r="K139" s="101">
        <v>28732</v>
      </c>
    </row>
    <row r="140" spans="1:11" ht="11.25" x14ac:dyDescent="0.2">
      <c r="A140" s="81">
        <f t="shared" ref="A140:C140" si="104">A8/12*MONTH($A$132)</f>
        <v>473239.3783333333</v>
      </c>
      <c r="B140" s="81">
        <f t="shared" si="104"/>
        <v>709859.06749999989</v>
      </c>
      <c r="C140" s="81">
        <f t="shared" si="104"/>
        <v>73943.652200000011</v>
      </c>
      <c r="D140" s="1">
        <f>$D$8</f>
        <v>0.27</v>
      </c>
      <c r="E140" s="81">
        <f t="shared" si="100"/>
        <v>473239.3783333333</v>
      </c>
      <c r="G140" s="101">
        <v>163700</v>
      </c>
      <c r="H140" s="101">
        <v>15017</v>
      </c>
      <c r="J140" s="101">
        <v>188700</v>
      </c>
      <c r="K140" s="101">
        <v>28517</v>
      </c>
    </row>
    <row r="141" spans="1:11" ht="11.25" x14ac:dyDescent="0.2">
      <c r="A141" s="81">
        <f t="shared" ref="A141:C141" si="105">A9/12*MONTH($A$132)</f>
        <v>709859.06749999989</v>
      </c>
      <c r="B141" s="81">
        <f t="shared" si="105"/>
        <v>946478.77500000014</v>
      </c>
      <c r="C141" s="81">
        <f t="shared" si="105"/>
        <v>137830.96827499999</v>
      </c>
      <c r="D141" s="1">
        <f>$D$9</f>
        <v>0.31</v>
      </c>
      <c r="E141" s="81">
        <f t="shared" si="100"/>
        <v>709859.06749999989</v>
      </c>
      <c r="G141" s="101">
        <v>163800</v>
      </c>
      <c r="H141" s="101">
        <v>14846</v>
      </c>
      <c r="J141" s="101">
        <v>188800</v>
      </c>
      <c r="K141" s="101">
        <v>28302</v>
      </c>
    </row>
    <row r="142" spans="1:11" ht="11.25" x14ac:dyDescent="0.2">
      <c r="A142" s="81">
        <f t="shared" ref="A142:C142" si="106">A10/12*MONTH($A$132)</f>
        <v>946478.77500000014</v>
      </c>
      <c r="B142" s="81">
        <f t="shared" si="106"/>
        <v>9166666665.75</v>
      </c>
      <c r="C142" s="81">
        <f t="shared" si="106"/>
        <v>211183.07760000002</v>
      </c>
      <c r="D142" s="1">
        <f>$D$10</f>
        <v>0.35</v>
      </c>
      <c r="E142" s="81">
        <f t="shared" si="100"/>
        <v>946478.77500000014</v>
      </c>
      <c r="G142" s="101">
        <v>163900</v>
      </c>
      <c r="H142" s="101">
        <v>14675</v>
      </c>
      <c r="J142" s="101">
        <v>188900</v>
      </c>
      <c r="K142" s="101">
        <v>28088</v>
      </c>
    </row>
    <row r="143" spans="1:11" ht="11.25" x14ac:dyDescent="0.2">
      <c r="G143" s="101">
        <v>164000</v>
      </c>
      <c r="H143" s="101">
        <v>14505</v>
      </c>
      <c r="J143" s="101">
        <v>189000</v>
      </c>
      <c r="K143" s="101">
        <v>27874</v>
      </c>
    </row>
    <row r="144" spans="1:11" ht="11.25" x14ac:dyDescent="0.2">
      <c r="G144" s="101">
        <v>164100</v>
      </c>
      <c r="H144" s="101">
        <v>14334</v>
      </c>
      <c r="J144" s="101">
        <v>189100</v>
      </c>
      <c r="K144" s="101">
        <v>27660</v>
      </c>
    </row>
    <row r="145" spans="7:11" ht="11.25" x14ac:dyDescent="0.2">
      <c r="G145" s="101">
        <v>164200</v>
      </c>
      <c r="H145" s="101">
        <v>14164</v>
      </c>
      <c r="J145" s="101">
        <v>189200</v>
      </c>
      <c r="K145" s="101">
        <v>27447</v>
      </c>
    </row>
    <row r="146" spans="7:11" ht="11.25" x14ac:dyDescent="0.2">
      <c r="G146" s="101">
        <v>164300</v>
      </c>
      <c r="H146" s="101">
        <v>13994</v>
      </c>
      <c r="J146" s="101">
        <v>189300</v>
      </c>
      <c r="K146" s="101">
        <v>27234</v>
      </c>
    </row>
    <row r="147" spans="7:11" ht="11.25" x14ac:dyDescent="0.2">
      <c r="G147" s="101">
        <v>164400</v>
      </c>
      <c r="H147" s="101">
        <v>13824</v>
      </c>
      <c r="J147" s="101">
        <v>189400</v>
      </c>
      <c r="K147" s="101">
        <v>27021</v>
      </c>
    </row>
    <row r="148" spans="7:11" ht="11.25" x14ac:dyDescent="0.2">
      <c r="G148" s="101">
        <v>164500</v>
      </c>
      <c r="H148" s="101">
        <v>13655</v>
      </c>
      <c r="J148" s="101">
        <v>189500</v>
      </c>
      <c r="K148" s="101">
        <v>26808</v>
      </c>
    </row>
    <row r="149" spans="7:11" ht="11.25" x14ac:dyDescent="0.2">
      <c r="G149" s="101">
        <v>164600</v>
      </c>
      <c r="H149" s="101">
        <v>13486</v>
      </c>
      <c r="J149" s="101">
        <v>189600</v>
      </c>
      <c r="K149" s="101">
        <v>26595</v>
      </c>
    </row>
    <row r="150" spans="7:11" ht="11.25" x14ac:dyDescent="0.2">
      <c r="G150" s="101">
        <v>164700</v>
      </c>
      <c r="H150" s="101">
        <v>13317</v>
      </c>
      <c r="J150" s="101">
        <v>189700</v>
      </c>
      <c r="K150" s="101">
        <v>26383</v>
      </c>
    </row>
    <row r="151" spans="7:11" ht="11.25" x14ac:dyDescent="0.2">
      <c r="G151" s="101">
        <v>164800</v>
      </c>
      <c r="H151" s="101">
        <v>13148</v>
      </c>
      <c r="J151" s="101">
        <v>189800</v>
      </c>
      <c r="K151" s="101">
        <v>26171</v>
      </c>
    </row>
    <row r="152" spans="7:11" ht="11.25" x14ac:dyDescent="0.2">
      <c r="G152" s="101">
        <v>164900</v>
      </c>
      <c r="H152" s="101">
        <v>12979</v>
      </c>
      <c r="J152" s="101">
        <v>189900</v>
      </c>
      <c r="K152" s="101">
        <v>25959</v>
      </c>
    </row>
    <row r="153" spans="7:11" ht="11.25" x14ac:dyDescent="0.2">
      <c r="G153" s="101">
        <v>165000</v>
      </c>
      <c r="H153" s="101">
        <v>12810</v>
      </c>
      <c r="J153" s="101">
        <v>190000</v>
      </c>
      <c r="K153" s="101">
        <v>25748</v>
      </c>
    </row>
    <row r="154" spans="7:11" ht="11.25" x14ac:dyDescent="0.2">
      <c r="G154" s="101">
        <v>165100</v>
      </c>
      <c r="H154" s="101">
        <v>12642</v>
      </c>
      <c r="J154" s="101">
        <v>190100</v>
      </c>
      <c r="K154" s="101">
        <v>25537</v>
      </c>
    </row>
    <row r="155" spans="7:11" ht="11.25" x14ac:dyDescent="0.2">
      <c r="G155" s="101">
        <v>165200</v>
      </c>
      <c r="H155" s="101">
        <v>12474</v>
      </c>
      <c r="J155" s="101">
        <v>190200</v>
      </c>
      <c r="K155" s="101">
        <v>25326</v>
      </c>
    </row>
    <row r="156" spans="7:11" ht="11.25" x14ac:dyDescent="0.2">
      <c r="G156" s="101">
        <v>165300</v>
      </c>
      <c r="H156" s="101">
        <v>12306</v>
      </c>
      <c r="J156" s="101">
        <v>190300</v>
      </c>
      <c r="K156" s="101">
        <v>25115</v>
      </c>
    </row>
    <row r="157" spans="7:11" ht="11.25" x14ac:dyDescent="0.2">
      <c r="G157" s="101">
        <v>165400</v>
      </c>
      <c r="H157" s="101">
        <v>12138</v>
      </c>
      <c r="J157" s="101">
        <v>190400</v>
      </c>
      <c r="K157" s="101">
        <v>24904</v>
      </c>
    </row>
    <row r="158" spans="7:11" ht="11.25" x14ac:dyDescent="0.2">
      <c r="G158" s="101">
        <v>165500</v>
      </c>
      <c r="H158" s="101">
        <v>11970</v>
      </c>
      <c r="J158" s="101">
        <v>190500</v>
      </c>
      <c r="K158" s="101">
        <v>24694</v>
      </c>
    </row>
    <row r="159" spans="7:11" ht="11.25" x14ac:dyDescent="0.2">
      <c r="G159" s="101">
        <v>165600</v>
      </c>
      <c r="H159" s="101">
        <v>11803</v>
      </c>
      <c r="J159" s="101">
        <v>190600</v>
      </c>
      <c r="K159" s="101">
        <v>24484</v>
      </c>
    </row>
    <row r="160" spans="7:11" ht="11.25" x14ac:dyDescent="0.2">
      <c r="G160" s="101">
        <v>165700</v>
      </c>
      <c r="H160" s="101">
        <v>11636</v>
      </c>
      <c r="J160" s="101">
        <v>190700</v>
      </c>
      <c r="K160" s="101">
        <v>24274</v>
      </c>
    </row>
    <row r="161" spans="7:11" ht="11.25" x14ac:dyDescent="0.2">
      <c r="G161" s="101">
        <v>165800</v>
      </c>
      <c r="H161" s="101">
        <v>11469</v>
      </c>
      <c r="J161" s="101">
        <v>190800</v>
      </c>
      <c r="K161" s="101">
        <v>24064</v>
      </c>
    </row>
    <row r="162" spans="7:11" ht="11.25" x14ac:dyDescent="0.2">
      <c r="G162" s="101">
        <v>165900</v>
      </c>
      <c r="H162" s="101">
        <v>11302</v>
      </c>
      <c r="J162" s="101">
        <v>190900</v>
      </c>
      <c r="K162" s="101">
        <v>23855</v>
      </c>
    </row>
    <row r="163" spans="7:11" ht="11.25" x14ac:dyDescent="0.2">
      <c r="G163" s="101">
        <v>166000</v>
      </c>
      <c r="H163" s="101">
        <v>11135</v>
      </c>
      <c r="J163" s="101">
        <v>191000</v>
      </c>
      <c r="K163" s="101">
        <v>23646</v>
      </c>
    </row>
    <row r="164" spans="7:11" ht="11.25" x14ac:dyDescent="0.2">
      <c r="G164" s="101">
        <v>166100</v>
      </c>
      <c r="H164" s="101">
        <v>10969</v>
      </c>
      <c r="J164" s="101">
        <v>191100</v>
      </c>
      <c r="K164" s="101">
        <v>23437</v>
      </c>
    </row>
    <row r="165" spans="7:11" ht="11.25" x14ac:dyDescent="0.2">
      <c r="G165" s="101">
        <v>166200</v>
      </c>
      <c r="H165" s="101">
        <v>10802</v>
      </c>
      <c r="J165" s="101">
        <v>191200</v>
      </c>
      <c r="K165" s="101">
        <v>23228</v>
      </c>
    </row>
    <row r="166" spans="7:11" ht="11.25" x14ac:dyDescent="0.2">
      <c r="G166" s="101">
        <v>166300</v>
      </c>
      <c r="H166" s="101">
        <v>10636</v>
      </c>
      <c r="J166" s="101">
        <v>191300</v>
      </c>
      <c r="K166" s="101">
        <v>23019</v>
      </c>
    </row>
    <row r="167" spans="7:11" ht="11.25" x14ac:dyDescent="0.2">
      <c r="G167" s="101">
        <v>166400</v>
      </c>
      <c r="H167" s="101">
        <v>10470</v>
      </c>
      <c r="J167" s="101">
        <v>191400</v>
      </c>
      <c r="K167" s="101">
        <v>22811</v>
      </c>
    </row>
    <row r="168" spans="7:11" ht="11.25" x14ac:dyDescent="0.2">
      <c r="G168" s="101">
        <v>166500</v>
      </c>
      <c r="H168" s="101">
        <v>10304</v>
      </c>
      <c r="J168" s="101">
        <v>191500</v>
      </c>
      <c r="K168" s="101">
        <v>22603</v>
      </c>
    </row>
    <row r="169" spans="7:11" ht="11.25" x14ac:dyDescent="0.2">
      <c r="G169" s="101">
        <v>166600</v>
      </c>
      <c r="H169" s="101">
        <v>10139</v>
      </c>
      <c r="J169" s="101">
        <v>191600</v>
      </c>
      <c r="K169" s="101">
        <v>22395</v>
      </c>
    </row>
    <row r="170" spans="7:11" ht="11.25" x14ac:dyDescent="0.2">
      <c r="G170" s="101">
        <v>166700</v>
      </c>
      <c r="H170" s="101">
        <v>9973</v>
      </c>
      <c r="J170" s="101">
        <v>191700</v>
      </c>
      <c r="K170" s="101">
        <v>22187</v>
      </c>
    </row>
    <row r="171" spans="7:11" ht="11.25" x14ac:dyDescent="0.2">
      <c r="G171" s="101">
        <v>166800</v>
      </c>
      <c r="H171" s="101">
        <v>9808</v>
      </c>
      <c r="J171" s="101">
        <v>191800</v>
      </c>
      <c r="K171" s="101">
        <v>21980</v>
      </c>
    </row>
    <row r="172" spans="7:11" ht="11.25" x14ac:dyDescent="0.2">
      <c r="G172" s="101">
        <v>166900</v>
      </c>
      <c r="H172" s="101">
        <v>9643</v>
      </c>
      <c r="J172" s="101">
        <v>191900</v>
      </c>
      <c r="K172" s="101">
        <v>21772</v>
      </c>
    </row>
    <row r="173" spans="7:11" ht="11.25" x14ac:dyDescent="0.2">
      <c r="G173" s="101">
        <v>167000</v>
      </c>
      <c r="H173" s="101">
        <v>9478</v>
      </c>
      <c r="J173" s="101">
        <v>192000</v>
      </c>
      <c r="K173" s="101">
        <v>21565</v>
      </c>
    </row>
    <row r="174" spans="7:11" ht="11.25" x14ac:dyDescent="0.2">
      <c r="G174" s="101">
        <v>167100</v>
      </c>
      <c r="H174" s="101">
        <v>9313</v>
      </c>
      <c r="J174" s="101">
        <v>192100</v>
      </c>
      <c r="K174" s="101">
        <v>21359</v>
      </c>
    </row>
    <row r="175" spans="7:11" ht="11.25" x14ac:dyDescent="0.2">
      <c r="G175" s="101">
        <v>167200</v>
      </c>
      <c r="H175" s="101">
        <v>9148</v>
      </c>
      <c r="J175" s="101">
        <v>192200</v>
      </c>
      <c r="K175" s="101">
        <v>21152</v>
      </c>
    </row>
    <row r="176" spans="7:11" ht="11.25" x14ac:dyDescent="0.2">
      <c r="G176" s="101">
        <v>167300</v>
      </c>
      <c r="H176" s="101">
        <v>8983</v>
      </c>
      <c r="J176" s="101">
        <v>192300</v>
      </c>
      <c r="K176" s="101">
        <v>20945</v>
      </c>
    </row>
    <row r="177" spans="7:11" ht="11.25" x14ac:dyDescent="0.2">
      <c r="G177" s="101">
        <v>167400</v>
      </c>
      <c r="H177" s="101">
        <v>8819</v>
      </c>
      <c r="J177" s="101">
        <v>192400</v>
      </c>
      <c r="K177" s="101">
        <v>20739</v>
      </c>
    </row>
    <row r="178" spans="7:11" ht="11.25" x14ac:dyDescent="0.2">
      <c r="G178" s="101">
        <v>167500</v>
      </c>
      <c r="H178" s="101">
        <v>8655</v>
      </c>
      <c r="J178" s="101">
        <v>192500</v>
      </c>
      <c r="K178" s="101">
        <v>20533</v>
      </c>
    </row>
    <row r="179" spans="7:11" ht="11.25" x14ac:dyDescent="0.2">
      <c r="G179" s="101">
        <v>167600</v>
      </c>
      <c r="H179" s="101">
        <v>8491</v>
      </c>
      <c r="J179" s="101">
        <v>192600</v>
      </c>
      <c r="K179" s="101">
        <v>20327</v>
      </c>
    </row>
    <row r="180" spans="7:11" ht="11.25" x14ac:dyDescent="0.2">
      <c r="G180" s="101">
        <v>167700</v>
      </c>
      <c r="H180" s="101">
        <v>8327</v>
      </c>
      <c r="J180" s="101">
        <v>192700</v>
      </c>
      <c r="K180" s="101">
        <v>20122</v>
      </c>
    </row>
    <row r="181" spans="7:11" ht="11.25" x14ac:dyDescent="0.2">
      <c r="G181" s="101">
        <v>167800</v>
      </c>
      <c r="H181" s="101">
        <v>8163</v>
      </c>
      <c r="J181" s="101">
        <v>192800</v>
      </c>
      <c r="K181" s="101">
        <v>19916</v>
      </c>
    </row>
    <row r="182" spans="7:11" ht="11.25" x14ac:dyDescent="0.2">
      <c r="G182" s="101">
        <v>167900</v>
      </c>
      <c r="H182" s="101">
        <v>8000</v>
      </c>
      <c r="J182" s="101">
        <v>192900</v>
      </c>
      <c r="K182" s="101">
        <v>19711</v>
      </c>
    </row>
    <row r="183" spans="7:11" ht="11.25" x14ac:dyDescent="0.2">
      <c r="G183" s="101">
        <v>168000</v>
      </c>
      <c r="H183" s="101">
        <v>7836</v>
      </c>
      <c r="J183" s="101">
        <v>193000</v>
      </c>
      <c r="K183" s="101">
        <v>19506</v>
      </c>
    </row>
    <row r="184" spans="7:11" ht="11.25" x14ac:dyDescent="0.2">
      <c r="G184" s="101">
        <v>168100</v>
      </c>
      <c r="H184" s="101">
        <v>7673</v>
      </c>
      <c r="J184" s="101">
        <v>193100</v>
      </c>
      <c r="K184" s="101">
        <v>19301</v>
      </c>
    </row>
    <row r="185" spans="7:11" ht="11.25" x14ac:dyDescent="0.2">
      <c r="G185" s="101">
        <v>168200</v>
      </c>
      <c r="H185" s="101">
        <v>7510</v>
      </c>
      <c r="J185" s="101">
        <v>193200</v>
      </c>
      <c r="K185" s="101">
        <v>19096</v>
      </c>
    </row>
    <row r="186" spans="7:11" ht="11.25" x14ac:dyDescent="0.2">
      <c r="G186" s="101">
        <v>168300</v>
      </c>
      <c r="H186" s="101">
        <v>7347</v>
      </c>
      <c r="J186" s="101">
        <v>193300</v>
      </c>
      <c r="K186" s="101">
        <v>18892</v>
      </c>
    </row>
    <row r="187" spans="7:11" ht="11.25" x14ac:dyDescent="0.2">
      <c r="G187" s="101">
        <v>168400</v>
      </c>
      <c r="H187" s="101">
        <v>7184</v>
      </c>
      <c r="J187" s="101">
        <v>193400</v>
      </c>
      <c r="K187" s="101">
        <v>18687</v>
      </c>
    </row>
    <row r="188" spans="7:11" ht="11.25" x14ac:dyDescent="0.2">
      <c r="G188" s="101">
        <v>168500</v>
      </c>
      <c r="H188" s="101">
        <v>7022</v>
      </c>
      <c r="J188" s="101">
        <v>193500</v>
      </c>
      <c r="K188" s="101">
        <v>18483</v>
      </c>
    </row>
    <row r="189" spans="7:11" ht="11.25" x14ac:dyDescent="0.2">
      <c r="G189" s="101">
        <v>168600</v>
      </c>
      <c r="H189" s="101">
        <v>6859</v>
      </c>
      <c r="J189" s="101">
        <v>193600</v>
      </c>
      <c r="K189" s="101">
        <v>18279</v>
      </c>
    </row>
    <row r="190" spans="7:11" ht="11.25" x14ac:dyDescent="0.2">
      <c r="G190" s="101">
        <v>168700</v>
      </c>
      <c r="H190" s="101">
        <v>6697</v>
      </c>
      <c r="J190" s="101">
        <v>193700</v>
      </c>
      <c r="K190" s="101">
        <v>18076</v>
      </c>
    </row>
    <row r="191" spans="7:11" ht="11.25" x14ac:dyDescent="0.2">
      <c r="G191" s="101">
        <v>168800</v>
      </c>
      <c r="H191" s="101">
        <v>6534</v>
      </c>
      <c r="J191" s="101">
        <v>193800</v>
      </c>
      <c r="K191" s="101">
        <v>17872</v>
      </c>
    </row>
    <row r="192" spans="7:11" ht="11.25" x14ac:dyDescent="0.2">
      <c r="G192" s="101">
        <v>168900</v>
      </c>
      <c r="H192" s="101">
        <v>6372</v>
      </c>
      <c r="J192" s="101">
        <v>193900</v>
      </c>
      <c r="K192" s="101">
        <v>17669</v>
      </c>
    </row>
    <row r="193" spans="7:11" ht="11.25" x14ac:dyDescent="0.2">
      <c r="G193" s="101">
        <v>169000</v>
      </c>
      <c r="H193" s="101">
        <v>6210</v>
      </c>
      <c r="J193" s="101">
        <v>194000</v>
      </c>
      <c r="K193" s="101">
        <v>17465</v>
      </c>
    </row>
    <row r="194" spans="7:11" ht="11.25" x14ac:dyDescent="0.2">
      <c r="G194" s="101">
        <v>169100</v>
      </c>
      <c r="H194" s="101">
        <v>6049</v>
      </c>
      <c r="J194" s="101">
        <v>194100</v>
      </c>
      <c r="K194" s="101">
        <v>17262</v>
      </c>
    </row>
    <row r="195" spans="7:11" ht="11.25" x14ac:dyDescent="0.2">
      <c r="G195" s="101">
        <v>169200</v>
      </c>
      <c r="H195" s="101">
        <v>5887</v>
      </c>
      <c r="J195" s="101">
        <v>194200</v>
      </c>
      <c r="K195" s="101">
        <v>17060</v>
      </c>
    </row>
    <row r="196" spans="7:11" ht="11.25" x14ac:dyDescent="0.2">
      <c r="G196" s="101">
        <v>169300</v>
      </c>
      <c r="H196" s="101">
        <v>5726</v>
      </c>
      <c r="J196" s="101">
        <v>194300</v>
      </c>
      <c r="K196" s="101">
        <v>16857</v>
      </c>
    </row>
    <row r="197" spans="7:11" ht="11.25" x14ac:dyDescent="0.2">
      <c r="G197" s="101">
        <v>169400</v>
      </c>
      <c r="H197" s="101">
        <v>5564</v>
      </c>
      <c r="J197" s="101">
        <v>194400</v>
      </c>
      <c r="K197" s="101">
        <v>16654</v>
      </c>
    </row>
    <row r="198" spans="7:11" ht="11.25" x14ac:dyDescent="0.2">
      <c r="G198" s="101">
        <v>169500</v>
      </c>
      <c r="H198" s="101">
        <v>5403</v>
      </c>
      <c r="J198" s="101">
        <v>194500</v>
      </c>
      <c r="K198" s="101">
        <v>16452</v>
      </c>
    </row>
    <row r="199" spans="7:11" ht="11.25" x14ac:dyDescent="0.2">
      <c r="G199" s="101">
        <v>169600</v>
      </c>
      <c r="H199" s="101">
        <v>5242</v>
      </c>
      <c r="J199" s="101">
        <v>194600</v>
      </c>
      <c r="K199" s="101">
        <v>16250</v>
      </c>
    </row>
    <row r="200" spans="7:11" ht="11.25" x14ac:dyDescent="0.2">
      <c r="G200" s="101">
        <v>169700</v>
      </c>
      <c r="H200" s="101">
        <v>5081</v>
      </c>
      <c r="J200" s="101">
        <v>194700</v>
      </c>
      <c r="K200" s="101">
        <v>16048</v>
      </c>
    </row>
    <row r="201" spans="7:11" ht="11.25" x14ac:dyDescent="0.2">
      <c r="G201" s="101">
        <v>169800</v>
      </c>
      <c r="H201" s="101">
        <v>4920</v>
      </c>
      <c r="J201" s="101">
        <v>194800</v>
      </c>
      <c r="K201" s="101">
        <v>15846</v>
      </c>
    </row>
    <row r="202" spans="7:11" ht="11.25" x14ac:dyDescent="0.2">
      <c r="G202" s="101">
        <v>169900</v>
      </c>
      <c r="H202" s="101">
        <v>4760</v>
      </c>
      <c r="J202" s="101">
        <v>194900</v>
      </c>
      <c r="K202" s="101">
        <v>15645</v>
      </c>
    </row>
    <row r="203" spans="7:11" ht="11.25" x14ac:dyDescent="0.2">
      <c r="G203" s="101">
        <v>170000</v>
      </c>
      <c r="H203" s="101">
        <v>4599</v>
      </c>
      <c r="J203" s="101">
        <v>195000</v>
      </c>
      <c r="K203" s="101">
        <v>15443</v>
      </c>
    </row>
    <row r="204" spans="7:11" ht="11.25" x14ac:dyDescent="0.2">
      <c r="G204" s="101">
        <v>170100</v>
      </c>
      <c r="H204" s="101">
        <v>4439</v>
      </c>
      <c r="J204" s="101">
        <v>195100</v>
      </c>
      <c r="K204" s="101">
        <v>15242</v>
      </c>
    </row>
    <row r="205" spans="7:11" ht="11.25" x14ac:dyDescent="0.2">
      <c r="G205" s="101">
        <v>170200</v>
      </c>
      <c r="H205" s="101">
        <v>4278</v>
      </c>
      <c r="J205" s="101">
        <v>195200</v>
      </c>
      <c r="K205" s="101">
        <v>15041</v>
      </c>
    </row>
    <row r="206" spans="7:11" ht="11.25" x14ac:dyDescent="0.2">
      <c r="G206" s="101">
        <v>170300</v>
      </c>
      <c r="H206" s="101">
        <v>4118</v>
      </c>
      <c r="J206" s="101">
        <v>195300</v>
      </c>
      <c r="K206" s="101">
        <v>14840</v>
      </c>
    </row>
    <row r="207" spans="7:11" ht="11.25" x14ac:dyDescent="0.2">
      <c r="G207" s="101">
        <v>170400</v>
      </c>
      <c r="H207" s="101">
        <v>3958</v>
      </c>
      <c r="J207" s="101">
        <v>195400</v>
      </c>
      <c r="K207" s="101">
        <v>14639</v>
      </c>
    </row>
    <row r="208" spans="7:11" ht="11.25" x14ac:dyDescent="0.2">
      <c r="G208" s="101">
        <v>170500</v>
      </c>
      <c r="H208" s="101">
        <v>3798</v>
      </c>
      <c r="J208" s="101">
        <v>195500</v>
      </c>
      <c r="K208" s="101">
        <v>14439</v>
      </c>
    </row>
    <row r="209" spans="7:11" ht="11.25" x14ac:dyDescent="0.2">
      <c r="G209" s="101">
        <v>170600</v>
      </c>
      <c r="H209" s="101">
        <v>3639</v>
      </c>
      <c r="J209" s="101">
        <v>195600</v>
      </c>
      <c r="K209" s="101">
        <v>14238</v>
      </c>
    </row>
    <row r="210" spans="7:11" ht="11.25" x14ac:dyDescent="0.2">
      <c r="G210" s="101">
        <v>170700</v>
      </c>
      <c r="H210" s="101">
        <v>3479</v>
      </c>
      <c r="J210" s="101">
        <v>195700</v>
      </c>
      <c r="K210" s="101">
        <v>14038</v>
      </c>
    </row>
    <row r="211" spans="7:11" ht="11.25" x14ac:dyDescent="0.2">
      <c r="G211" s="101">
        <v>170800</v>
      </c>
      <c r="H211" s="101">
        <v>3320</v>
      </c>
      <c r="J211" s="101">
        <v>195800</v>
      </c>
      <c r="K211" s="101">
        <v>13838</v>
      </c>
    </row>
    <row r="212" spans="7:11" ht="11.25" x14ac:dyDescent="0.2">
      <c r="G212" s="101">
        <v>170900</v>
      </c>
      <c r="H212" s="101">
        <v>3160</v>
      </c>
      <c r="J212" s="101">
        <v>195900</v>
      </c>
      <c r="K212" s="101">
        <v>13638</v>
      </c>
    </row>
    <row r="213" spans="7:11" ht="11.25" x14ac:dyDescent="0.2">
      <c r="G213" s="101">
        <v>171000</v>
      </c>
      <c r="H213" s="101">
        <v>3001</v>
      </c>
      <c r="J213" s="101">
        <v>196000</v>
      </c>
      <c r="K213" s="101">
        <v>13438</v>
      </c>
    </row>
    <row r="214" spans="7:11" ht="11.25" x14ac:dyDescent="0.2">
      <c r="G214" s="101">
        <v>171100</v>
      </c>
      <c r="H214" s="101">
        <v>2842</v>
      </c>
      <c r="J214" s="101">
        <v>196100</v>
      </c>
      <c r="K214" s="101">
        <v>13238</v>
      </c>
    </row>
    <row r="215" spans="7:11" ht="11.25" x14ac:dyDescent="0.2">
      <c r="G215" s="101">
        <v>171200</v>
      </c>
      <c r="H215" s="101">
        <v>2683</v>
      </c>
      <c r="J215" s="101">
        <v>196200</v>
      </c>
      <c r="K215" s="101">
        <v>13039</v>
      </c>
    </row>
    <row r="216" spans="7:11" ht="11.25" x14ac:dyDescent="0.2">
      <c r="G216" s="101">
        <v>171300</v>
      </c>
      <c r="H216" s="101">
        <v>2524</v>
      </c>
      <c r="J216" s="101">
        <v>196300</v>
      </c>
      <c r="K216" s="101">
        <v>12840</v>
      </c>
    </row>
    <row r="217" spans="7:11" ht="11.25" x14ac:dyDescent="0.2">
      <c r="G217" s="101">
        <v>171400</v>
      </c>
      <c r="H217" s="101">
        <v>2366</v>
      </c>
      <c r="J217" s="101">
        <v>196400</v>
      </c>
      <c r="K217" s="101">
        <v>12640</v>
      </c>
    </row>
    <row r="218" spans="7:11" ht="11.25" x14ac:dyDescent="0.2">
      <c r="G218" s="101">
        <v>171500</v>
      </c>
      <c r="H218" s="101">
        <v>2207</v>
      </c>
      <c r="J218" s="101">
        <v>196500</v>
      </c>
      <c r="K218" s="101">
        <v>12442</v>
      </c>
    </row>
    <row r="219" spans="7:11" ht="11.25" x14ac:dyDescent="0.2">
      <c r="G219" s="101">
        <v>171600</v>
      </c>
      <c r="H219" s="101">
        <v>2049</v>
      </c>
      <c r="J219" s="101">
        <v>196600</v>
      </c>
      <c r="K219" s="101">
        <v>12243</v>
      </c>
    </row>
    <row r="220" spans="7:11" ht="11.25" x14ac:dyDescent="0.2">
      <c r="G220" s="101">
        <v>171700</v>
      </c>
      <c r="H220" s="101">
        <v>1890</v>
      </c>
      <c r="J220" s="101">
        <v>196700</v>
      </c>
      <c r="K220" s="101">
        <v>12044</v>
      </c>
    </row>
    <row r="221" spans="7:11" ht="11.25" x14ac:dyDescent="0.2">
      <c r="G221" s="101">
        <v>171800</v>
      </c>
      <c r="H221" s="101">
        <v>1732</v>
      </c>
      <c r="J221" s="101">
        <v>196800</v>
      </c>
      <c r="K221" s="101">
        <v>11845</v>
      </c>
    </row>
    <row r="222" spans="7:11" ht="11.25" x14ac:dyDescent="0.2">
      <c r="G222" s="101">
        <v>171900</v>
      </c>
      <c r="H222" s="101">
        <v>1574</v>
      </c>
      <c r="J222" s="101">
        <v>196900</v>
      </c>
      <c r="K222" s="101">
        <v>11647</v>
      </c>
    </row>
    <row r="223" spans="7:11" ht="11.25" x14ac:dyDescent="0.2">
      <c r="G223" s="101">
        <v>172000</v>
      </c>
      <c r="H223" s="101">
        <v>1416</v>
      </c>
      <c r="J223" s="101">
        <v>197000</v>
      </c>
      <c r="K223" s="101">
        <v>11449</v>
      </c>
    </row>
    <row r="224" spans="7:11" ht="11.25" x14ac:dyDescent="0.2">
      <c r="G224" s="101">
        <v>172100</v>
      </c>
      <c r="H224" s="101">
        <v>1258</v>
      </c>
      <c r="J224" s="101">
        <v>197100</v>
      </c>
      <c r="K224" s="101">
        <v>11251</v>
      </c>
    </row>
    <row r="225" spans="7:11" ht="11.25" x14ac:dyDescent="0.2">
      <c r="G225" s="101">
        <v>172200</v>
      </c>
      <c r="H225" s="101">
        <v>1101</v>
      </c>
      <c r="J225" s="101">
        <v>197200</v>
      </c>
      <c r="K225" s="101">
        <v>11053</v>
      </c>
    </row>
    <row r="226" spans="7:11" ht="11.25" x14ac:dyDescent="0.2">
      <c r="G226" s="101">
        <v>172300</v>
      </c>
      <c r="H226" s="101">
        <v>943</v>
      </c>
      <c r="J226" s="101">
        <v>197300</v>
      </c>
      <c r="K226" s="101">
        <v>10855</v>
      </c>
    </row>
    <row r="227" spans="7:11" ht="11.25" x14ac:dyDescent="0.2">
      <c r="G227" s="101">
        <v>172400</v>
      </c>
      <c r="H227" s="101">
        <v>786</v>
      </c>
      <c r="J227" s="101">
        <v>197400</v>
      </c>
      <c r="K227" s="101">
        <v>10658</v>
      </c>
    </row>
    <row r="228" spans="7:11" ht="11.25" x14ac:dyDescent="0.2">
      <c r="G228" s="101">
        <v>172500</v>
      </c>
      <c r="H228" s="101">
        <v>628</v>
      </c>
      <c r="J228" s="101">
        <v>197500</v>
      </c>
      <c r="K228" s="101">
        <v>10460</v>
      </c>
    </row>
    <row r="229" spans="7:11" ht="11.25" x14ac:dyDescent="0.2">
      <c r="G229" s="101">
        <v>172600</v>
      </c>
      <c r="H229" s="101">
        <v>471</v>
      </c>
      <c r="J229" s="101">
        <v>197600</v>
      </c>
      <c r="K229" s="101">
        <v>10263</v>
      </c>
    </row>
    <row r="230" spans="7:11" ht="11.25" x14ac:dyDescent="0.2">
      <c r="G230" s="101">
        <v>172700</v>
      </c>
      <c r="H230" s="101">
        <v>314</v>
      </c>
      <c r="J230" s="101">
        <v>197700</v>
      </c>
      <c r="K230" s="101">
        <v>10066</v>
      </c>
    </row>
    <row r="231" spans="7:11" ht="11.25" x14ac:dyDescent="0.2">
      <c r="G231" s="101">
        <v>172800</v>
      </c>
      <c r="H231" s="101">
        <v>157</v>
      </c>
      <c r="J231" s="101">
        <v>197800</v>
      </c>
      <c r="K231" s="101">
        <v>9869</v>
      </c>
    </row>
    <row r="232" spans="7:11" ht="11.25" x14ac:dyDescent="0.2">
      <c r="G232" s="101">
        <v>172900</v>
      </c>
      <c r="H232" s="102">
        <v>0</v>
      </c>
      <c r="J232" s="101">
        <v>197900</v>
      </c>
      <c r="K232" s="101">
        <v>9672</v>
      </c>
    </row>
    <row r="233" spans="7:11" ht="11.25" x14ac:dyDescent="0.2">
      <c r="G233" s="103">
        <v>173000</v>
      </c>
      <c r="H233" s="103">
        <v>0</v>
      </c>
      <c r="J233" s="101">
        <v>198000</v>
      </c>
      <c r="K233" s="101">
        <v>9475</v>
      </c>
    </row>
    <row r="234" spans="7:11" x14ac:dyDescent="0.25">
      <c r="J234" s="101">
        <v>198100</v>
      </c>
      <c r="K234" s="101">
        <v>9278</v>
      </c>
    </row>
    <row r="235" spans="7:11" x14ac:dyDescent="0.25">
      <c r="J235" s="101">
        <v>198200</v>
      </c>
      <c r="K235" s="101">
        <v>9082</v>
      </c>
    </row>
    <row r="236" spans="7:11" x14ac:dyDescent="0.25">
      <c r="J236" s="101">
        <v>198300</v>
      </c>
      <c r="K236" s="101">
        <v>8886</v>
      </c>
    </row>
    <row r="237" spans="7:11" x14ac:dyDescent="0.25">
      <c r="J237" s="101">
        <v>198400</v>
      </c>
      <c r="K237" s="101">
        <v>8690</v>
      </c>
    </row>
    <row r="238" spans="7:11" x14ac:dyDescent="0.25">
      <c r="J238" s="101">
        <v>198500</v>
      </c>
      <c r="K238" s="101">
        <v>8494</v>
      </c>
    </row>
    <row r="239" spans="7:11" x14ac:dyDescent="0.25">
      <c r="J239" s="101">
        <v>198600</v>
      </c>
      <c r="K239" s="101">
        <v>8298</v>
      </c>
    </row>
    <row r="240" spans="7:11" x14ac:dyDescent="0.25">
      <c r="J240" s="101">
        <v>198700</v>
      </c>
      <c r="K240" s="101">
        <v>8102</v>
      </c>
    </row>
    <row r="241" spans="10:11" x14ac:dyDescent="0.25">
      <c r="J241" s="101">
        <v>198800</v>
      </c>
      <c r="K241" s="101">
        <v>7906</v>
      </c>
    </row>
    <row r="242" spans="10:11" x14ac:dyDescent="0.25">
      <c r="J242" s="101">
        <v>198900</v>
      </c>
      <c r="K242" s="101">
        <v>7711</v>
      </c>
    </row>
    <row r="243" spans="10:11" x14ac:dyDescent="0.25">
      <c r="J243" s="101">
        <v>199000</v>
      </c>
      <c r="K243" s="101">
        <v>7516</v>
      </c>
    </row>
    <row r="244" spans="10:11" x14ac:dyDescent="0.25">
      <c r="J244" s="101">
        <v>199100</v>
      </c>
      <c r="K244" s="101">
        <v>7320</v>
      </c>
    </row>
    <row r="245" spans="10:11" x14ac:dyDescent="0.25">
      <c r="J245" s="101">
        <v>199200</v>
      </c>
      <c r="K245" s="101">
        <v>7125</v>
      </c>
    </row>
    <row r="246" spans="10:11" x14ac:dyDescent="0.25">
      <c r="J246" s="101">
        <v>199300</v>
      </c>
      <c r="K246" s="101">
        <v>6931</v>
      </c>
    </row>
    <row r="247" spans="10:11" x14ac:dyDescent="0.25">
      <c r="J247" s="101">
        <v>199400</v>
      </c>
      <c r="K247" s="101">
        <v>6736</v>
      </c>
    </row>
    <row r="248" spans="10:11" x14ac:dyDescent="0.25">
      <c r="J248" s="101">
        <v>199500</v>
      </c>
      <c r="K248" s="101">
        <v>6541</v>
      </c>
    </row>
    <row r="249" spans="10:11" x14ac:dyDescent="0.25">
      <c r="J249" s="101">
        <v>199600</v>
      </c>
      <c r="K249" s="101">
        <v>6347</v>
      </c>
    </row>
    <row r="250" spans="10:11" x14ac:dyDescent="0.25">
      <c r="J250" s="101">
        <v>199700</v>
      </c>
      <c r="K250" s="101">
        <v>6152</v>
      </c>
    </row>
    <row r="251" spans="10:11" x14ac:dyDescent="0.25">
      <c r="J251" s="101">
        <v>199800</v>
      </c>
      <c r="K251" s="101">
        <v>5958</v>
      </c>
    </row>
    <row r="252" spans="10:11" x14ac:dyDescent="0.25">
      <c r="J252" s="101">
        <v>199900</v>
      </c>
      <c r="K252" s="101">
        <v>5764</v>
      </c>
    </row>
    <row r="253" spans="10:11" x14ac:dyDescent="0.25">
      <c r="J253" s="101">
        <v>200000</v>
      </c>
      <c r="K253" s="101">
        <v>5570</v>
      </c>
    </row>
    <row r="254" spans="10:11" x14ac:dyDescent="0.25">
      <c r="J254" s="101">
        <v>200100</v>
      </c>
      <c r="K254" s="101">
        <v>5376</v>
      </c>
    </row>
    <row r="255" spans="10:11" x14ac:dyDescent="0.25">
      <c r="J255" s="101">
        <v>200200</v>
      </c>
      <c r="K255" s="101">
        <v>5183</v>
      </c>
    </row>
    <row r="256" spans="10:11" x14ac:dyDescent="0.25">
      <c r="J256" s="101">
        <v>200300</v>
      </c>
      <c r="K256" s="101">
        <v>4989</v>
      </c>
    </row>
    <row r="257" spans="10:11" x14ac:dyDescent="0.25">
      <c r="J257" s="101">
        <v>200400</v>
      </c>
      <c r="K257" s="101">
        <v>4796</v>
      </c>
    </row>
    <row r="258" spans="10:11" x14ac:dyDescent="0.25">
      <c r="J258" s="101">
        <v>200500</v>
      </c>
      <c r="K258" s="101">
        <v>4602</v>
      </c>
    </row>
    <row r="259" spans="10:11" x14ac:dyDescent="0.25">
      <c r="J259" s="101">
        <v>200600</v>
      </c>
      <c r="K259" s="101">
        <v>4409</v>
      </c>
    </row>
    <row r="260" spans="10:11" x14ac:dyDescent="0.25">
      <c r="J260" s="101">
        <v>200700</v>
      </c>
      <c r="K260" s="101">
        <v>4216</v>
      </c>
    </row>
    <row r="261" spans="10:11" x14ac:dyDescent="0.25">
      <c r="J261" s="101">
        <v>200800</v>
      </c>
      <c r="K261" s="101">
        <v>4023</v>
      </c>
    </row>
    <row r="262" spans="10:11" x14ac:dyDescent="0.25">
      <c r="J262" s="101">
        <v>200900</v>
      </c>
      <c r="K262" s="101">
        <v>3830</v>
      </c>
    </row>
    <row r="263" spans="10:11" x14ac:dyDescent="0.25">
      <c r="J263" s="101">
        <v>201000</v>
      </c>
      <c r="K263" s="101">
        <v>3638</v>
      </c>
    </row>
    <row r="264" spans="10:11" x14ac:dyDescent="0.25">
      <c r="J264" s="101">
        <v>201100</v>
      </c>
      <c r="K264" s="101">
        <v>3445</v>
      </c>
    </row>
    <row r="265" spans="10:11" x14ac:dyDescent="0.25">
      <c r="J265" s="101">
        <v>201200</v>
      </c>
      <c r="K265" s="101">
        <v>3253</v>
      </c>
    </row>
    <row r="266" spans="10:11" x14ac:dyDescent="0.25">
      <c r="J266" s="101">
        <v>201300</v>
      </c>
      <c r="K266" s="101">
        <v>3060</v>
      </c>
    </row>
    <row r="267" spans="10:11" x14ac:dyDescent="0.25">
      <c r="J267" s="101">
        <v>201400</v>
      </c>
      <c r="K267" s="101">
        <v>2868</v>
      </c>
    </row>
    <row r="268" spans="10:11" x14ac:dyDescent="0.25">
      <c r="J268" s="101">
        <v>201500</v>
      </c>
      <c r="K268" s="101">
        <v>2676</v>
      </c>
    </row>
    <row r="269" spans="10:11" x14ac:dyDescent="0.25">
      <c r="J269" s="101">
        <v>201600</v>
      </c>
      <c r="K269" s="101">
        <v>2484</v>
      </c>
    </row>
    <row r="270" spans="10:11" x14ac:dyDescent="0.25">
      <c r="J270" s="101">
        <v>201700</v>
      </c>
      <c r="K270" s="101">
        <v>2292</v>
      </c>
    </row>
    <row r="271" spans="10:11" x14ac:dyDescent="0.25">
      <c r="J271" s="101">
        <v>201800</v>
      </c>
      <c r="K271" s="101">
        <v>2101</v>
      </c>
    </row>
    <row r="272" spans="10:11" x14ac:dyDescent="0.25">
      <c r="J272" s="101">
        <v>201900</v>
      </c>
      <c r="K272" s="101">
        <v>1909</v>
      </c>
    </row>
    <row r="273" spans="10:11" x14ac:dyDescent="0.25">
      <c r="J273" s="101">
        <v>202000</v>
      </c>
      <c r="K273" s="101">
        <v>1718</v>
      </c>
    </row>
    <row r="274" spans="10:11" x14ac:dyDescent="0.25">
      <c r="J274" s="101">
        <v>202100</v>
      </c>
      <c r="K274" s="101">
        <v>1526</v>
      </c>
    </row>
    <row r="275" spans="10:11" x14ac:dyDescent="0.25">
      <c r="J275" s="101">
        <v>202200</v>
      </c>
      <c r="K275" s="101">
        <v>1335</v>
      </c>
    </row>
    <row r="276" spans="10:11" x14ac:dyDescent="0.25">
      <c r="J276" s="101">
        <v>202300</v>
      </c>
      <c r="K276" s="101">
        <v>1144</v>
      </c>
    </row>
    <row r="277" spans="10:11" x14ac:dyDescent="0.25">
      <c r="J277" s="101">
        <v>202400</v>
      </c>
      <c r="K277" s="101">
        <v>953</v>
      </c>
    </row>
    <row r="278" spans="10:11" x14ac:dyDescent="0.25">
      <c r="J278" s="101">
        <v>202500</v>
      </c>
      <c r="K278" s="101">
        <v>762</v>
      </c>
    </row>
    <row r="279" spans="10:11" x14ac:dyDescent="0.25">
      <c r="J279" s="101">
        <v>202600</v>
      </c>
      <c r="K279" s="101">
        <v>571</v>
      </c>
    </row>
    <row r="280" spans="10:11" x14ac:dyDescent="0.25">
      <c r="J280" s="101">
        <v>202700</v>
      </c>
      <c r="K280" s="101">
        <v>381</v>
      </c>
    </row>
    <row r="281" spans="10:11" x14ac:dyDescent="0.25">
      <c r="J281" s="101">
        <v>202800</v>
      </c>
      <c r="K281" s="101">
        <v>190</v>
      </c>
    </row>
    <row r="282" spans="10:11" x14ac:dyDescent="0.25">
      <c r="J282" s="101">
        <v>202900</v>
      </c>
      <c r="K282" s="102">
        <v>0</v>
      </c>
    </row>
    <row r="283" spans="10:11" x14ac:dyDescent="0.25">
      <c r="J283" s="103">
        <v>203000</v>
      </c>
      <c r="K283" s="10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Neto Mínimo</vt:lpstr>
      <vt:lpstr>Caso 1</vt:lpstr>
      <vt:lpstr>Caso 2</vt:lpstr>
      <vt:lpstr>Caso 3</vt:lpstr>
      <vt:lpstr>Hoja1</vt:lpstr>
      <vt:lpstr>Tablas</vt:lpstr>
    </vt:vector>
  </TitlesOfParts>
  <Company>FIAT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arfs000022</dc:creator>
  <cp:lastModifiedBy>Ignacio</cp:lastModifiedBy>
  <cp:lastPrinted>2014-09-30T21:15:36Z</cp:lastPrinted>
  <dcterms:created xsi:type="dcterms:W3CDTF">2012-03-26T13:59:55Z</dcterms:created>
  <dcterms:modified xsi:type="dcterms:W3CDTF">2021-10-06T03:31:06Z</dcterms:modified>
</cp:coreProperties>
</file>