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gezz\Downloads\"/>
    </mc:Choice>
  </mc:AlternateContent>
  <bookViews>
    <workbookView xWindow="240" yWindow="45" windowWidth="15480" windowHeight="11640" activeTab="2"/>
  </bookViews>
  <sheets>
    <sheet name="Caso 1" sheetId="49" r:id="rId1"/>
    <sheet name="Caso 2" sheetId="50" r:id="rId2"/>
    <sheet name="Caso 3" sheetId="48" r:id="rId3"/>
    <sheet name="Tablas" sheetId="12" state="hidden" r:id="rId4"/>
  </sheets>
  <definedNames>
    <definedName name="_xlnm._FilterDatabase" localSheetId="0" hidden="1">'Caso 1'!$A$62:$B$66</definedName>
    <definedName name="_xlnm._FilterDatabase" localSheetId="1" hidden="1">'Caso 2'!$A$62:$B$66</definedName>
    <definedName name="_xlnm._FilterDatabase" localSheetId="2" hidden="1">'Caso 3'!$A$62:$B$66</definedName>
  </definedNames>
  <calcPr calcId="162913"/>
</workbook>
</file>

<file path=xl/calcChain.xml><?xml version="1.0" encoding="utf-8"?>
<calcChain xmlns="http://schemas.openxmlformats.org/spreadsheetml/2006/main">
  <c r="G3" i="50" l="1"/>
  <c r="H3" i="50" s="1"/>
  <c r="I3" i="50" s="1"/>
  <c r="J3" i="50" s="1"/>
  <c r="K3" i="50" s="1"/>
  <c r="L3" i="50" s="1"/>
  <c r="M3" i="50" s="1"/>
  <c r="F3" i="50"/>
  <c r="E3" i="50"/>
  <c r="D3" i="50"/>
  <c r="E74" i="50"/>
  <c r="J78" i="50"/>
  <c r="M78" i="50" s="1"/>
  <c r="H78" i="50"/>
  <c r="I78" i="50" s="1"/>
  <c r="E78" i="50"/>
  <c r="E9" i="50" s="1"/>
  <c r="C78" i="50"/>
  <c r="D74" i="50"/>
  <c r="C74" i="50"/>
  <c r="B74" i="50"/>
  <c r="B75" i="50" s="1"/>
  <c r="C70" i="50"/>
  <c r="D70" i="50" s="1"/>
  <c r="E70" i="50" s="1"/>
  <c r="F70" i="50" s="1"/>
  <c r="G70" i="50" s="1"/>
  <c r="H70" i="50" s="1"/>
  <c r="I70" i="50" s="1"/>
  <c r="J70" i="50" s="1"/>
  <c r="K70" i="50" s="1"/>
  <c r="L70" i="50" s="1"/>
  <c r="M70" i="50" s="1"/>
  <c r="C69" i="50"/>
  <c r="D69" i="50" s="1"/>
  <c r="E69" i="50" s="1"/>
  <c r="F69" i="50" s="1"/>
  <c r="G69" i="50" s="1"/>
  <c r="H69" i="50" s="1"/>
  <c r="I69" i="50" s="1"/>
  <c r="J69" i="50" s="1"/>
  <c r="K69" i="50" s="1"/>
  <c r="L69" i="50" s="1"/>
  <c r="M69" i="50" s="1"/>
  <c r="C68" i="50"/>
  <c r="D68" i="50" s="1"/>
  <c r="E68" i="50" s="1"/>
  <c r="F68" i="50" s="1"/>
  <c r="G68" i="50" s="1"/>
  <c r="H68" i="50" s="1"/>
  <c r="I68" i="50" s="1"/>
  <c r="J68" i="50" s="1"/>
  <c r="K68" i="50" s="1"/>
  <c r="L68" i="50" s="1"/>
  <c r="M68" i="50" s="1"/>
  <c r="A66" i="50"/>
  <c r="A65" i="50"/>
  <c r="B57" i="50"/>
  <c r="L49" i="50"/>
  <c r="L51" i="50" s="1"/>
  <c r="G49" i="50"/>
  <c r="G51" i="50" s="1"/>
  <c r="D49" i="50"/>
  <c r="D51" i="50" s="1"/>
  <c r="M48" i="50"/>
  <c r="M49" i="50" s="1"/>
  <c r="M51" i="50" s="1"/>
  <c r="L48" i="50"/>
  <c r="L50" i="50" s="1"/>
  <c r="K48" i="50"/>
  <c r="K50" i="50" s="1"/>
  <c r="J48" i="50"/>
  <c r="J50" i="50" s="1"/>
  <c r="I48" i="50"/>
  <c r="I50" i="50" s="1"/>
  <c r="H48" i="50"/>
  <c r="H50" i="50" s="1"/>
  <c r="G48" i="50"/>
  <c r="G50" i="50" s="1"/>
  <c r="F48" i="50"/>
  <c r="F49" i="50" s="1"/>
  <c r="F51" i="50" s="1"/>
  <c r="E48" i="50"/>
  <c r="E49" i="50" s="1"/>
  <c r="E51" i="50" s="1"/>
  <c r="D48" i="50"/>
  <c r="D50" i="50" s="1"/>
  <c r="C48" i="50"/>
  <c r="C50" i="50" s="1"/>
  <c r="B48" i="50"/>
  <c r="B50" i="50" s="1"/>
  <c r="N38" i="50"/>
  <c r="P37" i="50"/>
  <c r="O37" i="50"/>
  <c r="O36" i="50"/>
  <c r="C36" i="50"/>
  <c r="B36" i="50"/>
  <c r="O35" i="50"/>
  <c r="C35" i="50"/>
  <c r="B35" i="50"/>
  <c r="O33" i="50"/>
  <c r="B33" i="50" s="1"/>
  <c r="P32" i="50"/>
  <c r="O32" i="50"/>
  <c r="B32" i="50"/>
  <c r="N27" i="50"/>
  <c r="N26" i="50"/>
  <c r="N25" i="50"/>
  <c r="N24" i="50"/>
  <c r="N23" i="50"/>
  <c r="N22" i="50"/>
  <c r="N21" i="50"/>
  <c r="N20" i="50"/>
  <c r="N19" i="50"/>
  <c r="N18" i="50"/>
  <c r="B13" i="50"/>
  <c r="C13" i="50" s="1"/>
  <c r="C10" i="50"/>
  <c r="D9" i="50"/>
  <c r="D10" i="50" s="1"/>
  <c r="C9" i="50"/>
  <c r="B9" i="50"/>
  <c r="L6" i="50"/>
  <c r="K6" i="50"/>
  <c r="J6" i="50"/>
  <c r="I6" i="50"/>
  <c r="H6" i="50"/>
  <c r="E5" i="50"/>
  <c r="D5" i="50"/>
  <c r="C5" i="50"/>
  <c r="B5" i="50"/>
  <c r="N4" i="50"/>
  <c r="L5" i="49"/>
  <c r="J5" i="49"/>
  <c r="J59" i="49" s="1"/>
  <c r="H74" i="49"/>
  <c r="G74" i="49"/>
  <c r="E74" i="49"/>
  <c r="D5" i="49"/>
  <c r="C74" i="49"/>
  <c r="J78" i="49"/>
  <c r="K78" i="49" s="1"/>
  <c r="H78" i="49"/>
  <c r="I78" i="49" s="1"/>
  <c r="I9" i="49" s="1"/>
  <c r="E78" i="49"/>
  <c r="C78" i="49"/>
  <c r="M74" i="49"/>
  <c r="M7" i="49" s="1"/>
  <c r="L74" i="49"/>
  <c r="K74" i="49"/>
  <c r="J74" i="49"/>
  <c r="I74" i="49"/>
  <c r="F74" i="49"/>
  <c r="C70" i="49"/>
  <c r="D70" i="49" s="1"/>
  <c r="E70" i="49" s="1"/>
  <c r="F70" i="49" s="1"/>
  <c r="G70" i="49" s="1"/>
  <c r="H70" i="49" s="1"/>
  <c r="I70" i="49" s="1"/>
  <c r="J70" i="49" s="1"/>
  <c r="K70" i="49" s="1"/>
  <c r="L70" i="49" s="1"/>
  <c r="M70" i="49" s="1"/>
  <c r="C69" i="49"/>
  <c r="D69" i="49" s="1"/>
  <c r="E69" i="49" s="1"/>
  <c r="F69" i="49" s="1"/>
  <c r="G69" i="49" s="1"/>
  <c r="H69" i="49" s="1"/>
  <c r="I69" i="49" s="1"/>
  <c r="J69" i="49" s="1"/>
  <c r="K69" i="49" s="1"/>
  <c r="L69" i="49" s="1"/>
  <c r="M69" i="49" s="1"/>
  <c r="C68" i="49"/>
  <c r="D68" i="49" s="1"/>
  <c r="E68" i="49" s="1"/>
  <c r="F68" i="49" s="1"/>
  <c r="G68" i="49" s="1"/>
  <c r="H68" i="49" s="1"/>
  <c r="I68" i="49" s="1"/>
  <c r="J68" i="49" s="1"/>
  <c r="K68" i="49" s="1"/>
  <c r="L68" i="49" s="1"/>
  <c r="M68" i="49" s="1"/>
  <c r="A66" i="49"/>
  <c r="A65" i="49"/>
  <c r="B57" i="49"/>
  <c r="M48" i="49"/>
  <c r="M49" i="49" s="1"/>
  <c r="M51" i="49" s="1"/>
  <c r="L48" i="49"/>
  <c r="L49" i="49" s="1"/>
  <c r="L51" i="49" s="1"/>
  <c r="K48" i="49"/>
  <c r="K49" i="49" s="1"/>
  <c r="K51" i="49" s="1"/>
  <c r="J48" i="49"/>
  <c r="J50" i="49" s="1"/>
  <c r="I48" i="49"/>
  <c r="I50" i="49" s="1"/>
  <c r="H48" i="49"/>
  <c r="H50" i="49" s="1"/>
  <c r="G48" i="49"/>
  <c r="G50" i="49" s="1"/>
  <c r="F48" i="49"/>
  <c r="F49" i="49" s="1"/>
  <c r="F51" i="49" s="1"/>
  <c r="E48" i="49"/>
  <c r="E49" i="49" s="1"/>
  <c r="E51" i="49" s="1"/>
  <c r="D48" i="49"/>
  <c r="D49" i="49" s="1"/>
  <c r="D51" i="49" s="1"/>
  <c r="C48" i="49"/>
  <c r="C49" i="49" s="1"/>
  <c r="C51" i="49" s="1"/>
  <c r="B48" i="49"/>
  <c r="B50" i="49" s="1"/>
  <c r="N38" i="49"/>
  <c r="P37" i="49"/>
  <c r="O36" i="49"/>
  <c r="O37" i="49" s="1"/>
  <c r="C36" i="49"/>
  <c r="B36" i="49"/>
  <c r="O35" i="49"/>
  <c r="C35" i="49"/>
  <c r="B35" i="49"/>
  <c r="O33" i="49"/>
  <c r="O32" i="49" s="1"/>
  <c r="P32" i="49"/>
  <c r="N27" i="49"/>
  <c r="N26" i="49"/>
  <c r="N25" i="49"/>
  <c r="N24" i="49"/>
  <c r="N23" i="49"/>
  <c r="N22" i="49"/>
  <c r="N21" i="49"/>
  <c r="N20" i="49"/>
  <c r="N19" i="49"/>
  <c r="N18" i="49"/>
  <c r="B13" i="49"/>
  <c r="C13" i="49" s="1"/>
  <c r="J9" i="49"/>
  <c r="C9" i="49"/>
  <c r="L6" i="49"/>
  <c r="K6" i="49"/>
  <c r="J6" i="49"/>
  <c r="I6" i="49"/>
  <c r="H6" i="49"/>
  <c r="K5" i="49"/>
  <c r="I5" i="49"/>
  <c r="I59" i="49" s="1"/>
  <c r="F5" i="49"/>
  <c r="E5" i="49"/>
  <c r="E59" i="49" s="1"/>
  <c r="C5" i="49"/>
  <c r="N4" i="49"/>
  <c r="D11" i="50" l="1"/>
  <c r="F74" i="50"/>
  <c r="F75" i="50" s="1"/>
  <c r="F76" i="50" s="1"/>
  <c r="C11" i="50"/>
  <c r="D75" i="50"/>
  <c r="D76" i="50" s="1"/>
  <c r="C75" i="50"/>
  <c r="C76" i="50" s="1"/>
  <c r="E10" i="50"/>
  <c r="E11" i="50" s="1"/>
  <c r="E65" i="50"/>
  <c r="E66" i="50" s="1"/>
  <c r="D13" i="50"/>
  <c r="D35" i="50"/>
  <c r="H49" i="50"/>
  <c r="H51" i="50" s="1"/>
  <c r="C59" i="50"/>
  <c r="B65" i="50"/>
  <c r="B66" i="50" s="1"/>
  <c r="F78" i="50"/>
  <c r="F9" i="50" s="1"/>
  <c r="E35" i="50"/>
  <c r="I49" i="50"/>
  <c r="I51" i="50" s="1"/>
  <c r="E50" i="50"/>
  <c r="M50" i="50"/>
  <c r="D59" i="50"/>
  <c r="C65" i="50"/>
  <c r="C66" i="50" s="1"/>
  <c r="E75" i="50"/>
  <c r="E76" i="50" s="1"/>
  <c r="C32" i="50"/>
  <c r="G32" i="50" s="1"/>
  <c r="G33" i="50" s="1"/>
  <c r="B37" i="50"/>
  <c r="B49" i="50"/>
  <c r="B51" i="50" s="1"/>
  <c r="J49" i="50"/>
  <c r="J51" i="50" s="1"/>
  <c r="F50" i="50"/>
  <c r="E59" i="50"/>
  <c r="D65" i="50"/>
  <c r="D66" i="50" s="1"/>
  <c r="B76" i="50"/>
  <c r="D32" i="50"/>
  <c r="D33" i="50" s="1"/>
  <c r="C37" i="50"/>
  <c r="C49" i="50"/>
  <c r="C51" i="50" s="1"/>
  <c r="K49" i="50"/>
  <c r="K51" i="50" s="1"/>
  <c r="B59" i="50"/>
  <c r="B10" i="50"/>
  <c r="B11" i="50" s="1"/>
  <c r="E32" i="50"/>
  <c r="E33" i="50" s="1"/>
  <c r="D37" i="50"/>
  <c r="K78" i="50"/>
  <c r="F32" i="50"/>
  <c r="F33" i="50" s="1"/>
  <c r="D36" i="50"/>
  <c r="J75" i="49"/>
  <c r="M6" i="49"/>
  <c r="H9" i="49"/>
  <c r="H65" i="49" s="1"/>
  <c r="H5" i="49"/>
  <c r="H59" i="49" s="1"/>
  <c r="D9" i="49"/>
  <c r="D65" i="49" s="1"/>
  <c r="D66" i="49" s="1"/>
  <c r="D74" i="49"/>
  <c r="E9" i="49"/>
  <c r="E10" i="49" s="1"/>
  <c r="E11" i="49" s="1"/>
  <c r="G9" i="49"/>
  <c r="G65" i="49" s="1"/>
  <c r="N3" i="49"/>
  <c r="B74" i="49"/>
  <c r="B75" i="49" s="1"/>
  <c r="B9" i="49"/>
  <c r="B65" i="49" s="1"/>
  <c r="B66" i="49" s="1"/>
  <c r="G6" i="49"/>
  <c r="N6" i="49" s="1"/>
  <c r="B5" i="49"/>
  <c r="G5" i="49" s="1"/>
  <c r="J76" i="49"/>
  <c r="J30" i="49" s="1"/>
  <c r="G49" i="49"/>
  <c r="G51" i="49" s="1"/>
  <c r="M78" i="49"/>
  <c r="M9" i="49" s="1"/>
  <c r="I10" i="49"/>
  <c r="I11" i="49" s="1"/>
  <c r="I65" i="49"/>
  <c r="I66" i="49" s="1"/>
  <c r="L78" i="49"/>
  <c r="L9" i="49" s="1"/>
  <c r="K9" i="49"/>
  <c r="B32" i="49"/>
  <c r="K75" i="49"/>
  <c r="K76" i="49" s="1"/>
  <c r="D13" i="49"/>
  <c r="B33" i="49"/>
  <c r="D35" i="49"/>
  <c r="E35" i="49" s="1"/>
  <c r="H49" i="49"/>
  <c r="H51" i="49" s="1"/>
  <c r="D50" i="49"/>
  <c r="L50" i="49"/>
  <c r="C59" i="49"/>
  <c r="K59" i="49"/>
  <c r="J65" i="49"/>
  <c r="J66" i="49" s="1"/>
  <c r="L75" i="49"/>
  <c r="L76" i="49" s="1"/>
  <c r="F78" i="49"/>
  <c r="F9" i="49" s="1"/>
  <c r="I49" i="49"/>
  <c r="I51" i="49" s="1"/>
  <c r="E50" i="49"/>
  <c r="M50" i="49"/>
  <c r="D59" i="49"/>
  <c r="L59" i="49"/>
  <c r="C65" i="49"/>
  <c r="C66" i="49" s="1"/>
  <c r="M75" i="49"/>
  <c r="M76" i="49" s="1"/>
  <c r="K50" i="49"/>
  <c r="M5" i="49"/>
  <c r="H10" i="49"/>
  <c r="H11" i="49" s="1"/>
  <c r="B37" i="49"/>
  <c r="B49" i="49"/>
  <c r="B51" i="49" s="1"/>
  <c r="J49" i="49"/>
  <c r="J51" i="49" s="1"/>
  <c r="F50" i="49"/>
  <c r="F75" i="49"/>
  <c r="F76" i="49" s="1"/>
  <c r="C50" i="49"/>
  <c r="C37" i="49"/>
  <c r="F59" i="49"/>
  <c r="H66" i="49"/>
  <c r="G75" i="49"/>
  <c r="G76" i="49" s="1"/>
  <c r="J10" i="49"/>
  <c r="J11" i="49" s="1"/>
  <c r="H75" i="49"/>
  <c r="H76" i="49" s="1"/>
  <c r="C10" i="49"/>
  <c r="C11" i="49" s="1"/>
  <c r="I75" i="49"/>
  <c r="I76" i="49" s="1"/>
  <c r="D36" i="49"/>
  <c r="L5" i="48"/>
  <c r="L59" i="48" s="1"/>
  <c r="K5" i="48"/>
  <c r="K59" i="48" s="1"/>
  <c r="J5" i="48"/>
  <c r="I5" i="48"/>
  <c r="I59" i="48" s="1"/>
  <c r="H5" i="48"/>
  <c r="F5" i="48"/>
  <c r="E5" i="48"/>
  <c r="D5" i="48"/>
  <c r="C5" i="48"/>
  <c r="K78" i="48"/>
  <c r="L78" i="48" s="1"/>
  <c r="L9" i="48" s="1"/>
  <c r="J78" i="48"/>
  <c r="M78" i="48" s="1"/>
  <c r="M9" i="48" s="1"/>
  <c r="M65" i="48" s="1"/>
  <c r="M66" i="48" s="1"/>
  <c r="I78" i="48"/>
  <c r="H78" i="48"/>
  <c r="E78" i="48"/>
  <c r="F78" i="48" s="1"/>
  <c r="F9" i="48" s="1"/>
  <c r="F65" i="48" s="1"/>
  <c r="C78" i="48"/>
  <c r="M74" i="48"/>
  <c r="M7" i="48" s="1"/>
  <c r="L74" i="48"/>
  <c r="K74" i="48"/>
  <c r="J74" i="48"/>
  <c r="I74" i="48"/>
  <c r="H74" i="48"/>
  <c r="G74" i="48"/>
  <c r="F74" i="48"/>
  <c r="E74" i="48"/>
  <c r="D74" i="48"/>
  <c r="C70" i="48"/>
  <c r="D70" i="48" s="1"/>
  <c r="E70" i="48" s="1"/>
  <c r="F70" i="48" s="1"/>
  <c r="G70" i="48" s="1"/>
  <c r="H70" i="48" s="1"/>
  <c r="I70" i="48" s="1"/>
  <c r="J70" i="48" s="1"/>
  <c r="K70" i="48" s="1"/>
  <c r="L70" i="48" s="1"/>
  <c r="M70" i="48" s="1"/>
  <c r="C69" i="48"/>
  <c r="D69" i="48" s="1"/>
  <c r="C68" i="48"/>
  <c r="D68" i="48" s="1"/>
  <c r="E68" i="48" s="1"/>
  <c r="F68" i="48" s="1"/>
  <c r="G68" i="48" s="1"/>
  <c r="H68" i="48" s="1"/>
  <c r="I68" i="48" s="1"/>
  <c r="J68" i="48" s="1"/>
  <c r="K68" i="48" s="1"/>
  <c r="L68" i="48" s="1"/>
  <c r="M68" i="48" s="1"/>
  <c r="A66" i="48"/>
  <c r="A65" i="48"/>
  <c r="B57" i="48"/>
  <c r="M49" i="48"/>
  <c r="M51" i="48" s="1"/>
  <c r="M48" i="48"/>
  <c r="M50" i="48" s="1"/>
  <c r="L48" i="48"/>
  <c r="L49" i="48" s="1"/>
  <c r="L51" i="48" s="1"/>
  <c r="K48" i="48"/>
  <c r="K49" i="48" s="1"/>
  <c r="K51" i="48" s="1"/>
  <c r="J48" i="48"/>
  <c r="J49" i="48" s="1"/>
  <c r="J51" i="48" s="1"/>
  <c r="I48" i="48"/>
  <c r="I49" i="48" s="1"/>
  <c r="I51" i="48" s="1"/>
  <c r="H48" i="48"/>
  <c r="H50" i="48" s="1"/>
  <c r="G48" i="48"/>
  <c r="G50" i="48" s="1"/>
  <c r="F48" i="48"/>
  <c r="F50" i="48" s="1"/>
  <c r="E48" i="48"/>
  <c r="E50" i="48" s="1"/>
  <c r="D48" i="48"/>
  <c r="D49" i="48" s="1"/>
  <c r="D51" i="48" s="1"/>
  <c r="C48" i="48"/>
  <c r="C49" i="48" s="1"/>
  <c r="C51" i="48" s="1"/>
  <c r="B48" i="48"/>
  <c r="N38" i="48"/>
  <c r="P37" i="48"/>
  <c r="O36" i="48"/>
  <c r="O37" i="48" s="1"/>
  <c r="C36" i="48"/>
  <c r="B36" i="48"/>
  <c r="O35" i="48"/>
  <c r="B35" i="48"/>
  <c r="O33" i="48"/>
  <c r="B33" i="48" s="1"/>
  <c r="P32" i="48"/>
  <c r="O32" i="48"/>
  <c r="N27" i="48"/>
  <c r="N26" i="48"/>
  <c r="N25" i="48"/>
  <c r="N24" i="48"/>
  <c r="N23" i="48"/>
  <c r="N22" i="48"/>
  <c r="N21" i="48"/>
  <c r="N20" i="48"/>
  <c r="N19" i="48"/>
  <c r="N18" i="48"/>
  <c r="B13" i="48"/>
  <c r="J9" i="48"/>
  <c r="J10" i="48" s="1"/>
  <c r="I9" i="48"/>
  <c r="I10" i="48" s="1"/>
  <c r="H9" i="48"/>
  <c r="H65" i="48" s="1"/>
  <c r="G9" i="48"/>
  <c r="G65" i="48" s="1"/>
  <c r="E9" i="48"/>
  <c r="E65" i="48" s="1"/>
  <c r="E66" i="48" s="1"/>
  <c r="D9" i="48"/>
  <c r="D65" i="48" s="1"/>
  <c r="M6" i="48"/>
  <c r="L6" i="48"/>
  <c r="K6" i="48"/>
  <c r="J6" i="48"/>
  <c r="I6" i="48"/>
  <c r="H6" i="48"/>
  <c r="H59" i="48"/>
  <c r="F59" i="48"/>
  <c r="D59" i="48"/>
  <c r="N4" i="48"/>
  <c r="N3" i="48"/>
  <c r="G6" i="50" l="1"/>
  <c r="F5" i="50"/>
  <c r="D30" i="50"/>
  <c r="C30" i="50"/>
  <c r="F29" i="50"/>
  <c r="F30" i="50"/>
  <c r="E30" i="50"/>
  <c r="E29" i="50"/>
  <c r="E36" i="50"/>
  <c r="H32" i="50"/>
  <c r="H33" i="50" s="1"/>
  <c r="C33" i="50"/>
  <c r="L78" i="50"/>
  <c r="F36" i="50"/>
  <c r="F65" i="50"/>
  <c r="F66" i="50" s="1"/>
  <c r="F10" i="50"/>
  <c r="F11" i="50" s="1"/>
  <c r="B29" i="50"/>
  <c r="B30" i="50"/>
  <c r="B14" i="50"/>
  <c r="E37" i="50"/>
  <c r="F35" i="50"/>
  <c r="I32" i="50"/>
  <c r="I33" i="50" s="1"/>
  <c r="E13" i="50"/>
  <c r="E65" i="49"/>
  <c r="E66" i="49" s="1"/>
  <c r="G10" i="49"/>
  <c r="G11" i="49" s="1"/>
  <c r="G66" i="49"/>
  <c r="D10" i="49"/>
  <c r="D11" i="49" s="1"/>
  <c r="B76" i="49"/>
  <c r="B29" i="49" s="1"/>
  <c r="E75" i="49"/>
  <c r="E76" i="49" s="1"/>
  <c r="N9" i="49"/>
  <c r="D75" i="49"/>
  <c r="D76" i="49" s="1"/>
  <c r="D30" i="49" s="1"/>
  <c r="B10" i="49"/>
  <c r="C75" i="49"/>
  <c r="C76" i="49" s="1"/>
  <c r="C30" i="49" s="1"/>
  <c r="B59" i="49"/>
  <c r="G7" i="49"/>
  <c r="N7" i="49" s="1"/>
  <c r="M65" i="49"/>
  <c r="M66" i="49" s="1"/>
  <c r="M10" i="49"/>
  <c r="M11" i="49" s="1"/>
  <c r="F49" i="48"/>
  <c r="F51" i="48" s="1"/>
  <c r="K9" i="48"/>
  <c r="K10" i="48" s="1"/>
  <c r="E49" i="48"/>
  <c r="E51" i="48" s="1"/>
  <c r="E29" i="49"/>
  <c r="E30" i="49"/>
  <c r="K30" i="49"/>
  <c r="K29" i="49"/>
  <c r="H30" i="49"/>
  <c r="F30" i="49"/>
  <c r="I29" i="49"/>
  <c r="I30" i="49"/>
  <c r="M30" i="49"/>
  <c r="M29" i="49"/>
  <c r="B30" i="49"/>
  <c r="G30" i="49"/>
  <c r="M59" i="49"/>
  <c r="F65" i="49"/>
  <c r="F10" i="49"/>
  <c r="F11" i="49" s="1"/>
  <c r="C32" i="49"/>
  <c r="K10" i="49"/>
  <c r="K11" i="49" s="1"/>
  <c r="K65" i="49"/>
  <c r="K66" i="49" s="1"/>
  <c r="D37" i="49"/>
  <c r="E37" i="49" s="1"/>
  <c r="F35" i="49"/>
  <c r="G35" i="49" s="1"/>
  <c r="E13" i="49"/>
  <c r="F13" i="49" s="1"/>
  <c r="L10" i="49"/>
  <c r="L11" i="49" s="1"/>
  <c r="L65" i="49"/>
  <c r="L66" i="49" s="1"/>
  <c r="E36" i="49"/>
  <c r="L30" i="49"/>
  <c r="L29" i="49"/>
  <c r="G59" i="49"/>
  <c r="N5" i="49"/>
  <c r="B11" i="49"/>
  <c r="B14" i="49"/>
  <c r="J65" i="48"/>
  <c r="J66" i="48" s="1"/>
  <c r="M5" i="48"/>
  <c r="M10" i="48"/>
  <c r="E10" i="48"/>
  <c r="E11" i="48" s="1"/>
  <c r="D10" i="48"/>
  <c r="D11" i="48" s="1"/>
  <c r="J11" i="48"/>
  <c r="I75" i="48"/>
  <c r="I76" i="48" s="1"/>
  <c r="K11" i="48"/>
  <c r="J75" i="48"/>
  <c r="J76" i="48" s="1"/>
  <c r="L10" i="48"/>
  <c r="L11" i="48" s="1"/>
  <c r="L65" i="48"/>
  <c r="L66" i="48"/>
  <c r="C37" i="48"/>
  <c r="B37" i="48"/>
  <c r="E69" i="48"/>
  <c r="F69" i="48" s="1"/>
  <c r="G69" i="48" s="1"/>
  <c r="H69" i="48" s="1"/>
  <c r="I69" i="48" s="1"/>
  <c r="J69" i="48" s="1"/>
  <c r="K69" i="48" s="1"/>
  <c r="L69" i="48" s="1"/>
  <c r="M69" i="48" s="1"/>
  <c r="D36" i="48"/>
  <c r="I50" i="48"/>
  <c r="J59" i="48"/>
  <c r="I65" i="48"/>
  <c r="D66" i="48"/>
  <c r="K75" i="48"/>
  <c r="K76" i="48" s="1"/>
  <c r="J50" i="48"/>
  <c r="B9" i="48"/>
  <c r="B65" i="48" s="1"/>
  <c r="C13" i="48"/>
  <c r="C35" i="48"/>
  <c r="G49" i="48"/>
  <c r="G51" i="48" s="1"/>
  <c r="C50" i="48"/>
  <c r="K50" i="48"/>
  <c r="K65" i="48"/>
  <c r="K66" i="48" s="1"/>
  <c r="F66" i="48"/>
  <c r="M75" i="48"/>
  <c r="L75" i="48"/>
  <c r="L76" i="48" s="1"/>
  <c r="C9" i="48"/>
  <c r="C10" i="48" s="1"/>
  <c r="F10" i="48"/>
  <c r="F11" i="48" s="1"/>
  <c r="I11" i="48"/>
  <c r="H49" i="48"/>
  <c r="H51" i="48" s="1"/>
  <c r="D50" i="48"/>
  <c r="L50" i="48"/>
  <c r="E59" i="48"/>
  <c r="G66" i="48"/>
  <c r="B74" i="48"/>
  <c r="B50" i="48"/>
  <c r="B5" i="48"/>
  <c r="G10" i="48"/>
  <c r="B32" i="48"/>
  <c r="H66" i="48"/>
  <c r="C74" i="48"/>
  <c r="G75" i="48"/>
  <c r="G76" i="48" s="1"/>
  <c r="H10" i="48"/>
  <c r="H11" i="48" s="1"/>
  <c r="C32" i="48"/>
  <c r="C33" i="48" s="1"/>
  <c r="B49" i="48"/>
  <c r="B51" i="48" s="1"/>
  <c r="I66" i="48"/>
  <c r="H75" i="48"/>
  <c r="H76" i="48" s="1"/>
  <c r="G6" i="48"/>
  <c r="N6" i="48" s="1"/>
  <c r="F59" i="50" l="1"/>
  <c r="G5" i="50"/>
  <c r="G9" i="50"/>
  <c r="G10" i="50" s="1"/>
  <c r="G65" i="50"/>
  <c r="G66" i="50" s="1"/>
  <c r="G74" i="50"/>
  <c r="B16" i="50"/>
  <c r="J32" i="50"/>
  <c r="J33" i="50" s="1"/>
  <c r="C14" i="50"/>
  <c r="C16" i="50" s="1"/>
  <c r="C29" i="50" s="1"/>
  <c r="C39" i="50" s="1"/>
  <c r="F13" i="50"/>
  <c r="E39" i="50"/>
  <c r="G35" i="50"/>
  <c r="H35" i="50" s="1"/>
  <c r="B39" i="50"/>
  <c r="G13" i="50"/>
  <c r="G36" i="50"/>
  <c r="F37" i="50"/>
  <c r="C14" i="49"/>
  <c r="C16" i="49" s="1"/>
  <c r="D32" i="48"/>
  <c r="G7" i="48"/>
  <c r="G30" i="48"/>
  <c r="G13" i="49"/>
  <c r="N10" i="49"/>
  <c r="B39" i="49"/>
  <c r="B42" i="49" s="1"/>
  <c r="F66" i="49"/>
  <c r="H35" i="49"/>
  <c r="B16" i="49"/>
  <c r="F36" i="49"/>
  <c r="F37" i="49"/>
  <c r="N11" i="49"/>
  <c r="C33" i="49"/>
  <c r="D32" i="49"/>
  <c r="N30" i="49"/>
  <c r="I30" i="48"/>
  <c r="J30" i="48"/>
  <c r="K30" i="48"/>
  <c r="H30" i="48"/>
  <c r="H29" i="48"/>
  <c r="L30" i="48"/>
  <c r="B66" i="48"/>
  <c r="B14" i="48" s="1"/>
  <c r="M11" i="48"/>
  <c r="M59" i="48"/>
  <c r="G5" i="48"/>
  <c r="D35" i="48"/>
  <c r="C59" i="48"/>
  <c r="E35" i="48"/>
  <c r="F35" i="48" s="1"/>
  <c r="D37" i="48"/>
  <c r="M76" i="48"/>
  <c r="B10" i="48"/>
  <c r="N10" i="48" s="1"/>
  <c r="N9" i="48"/>
  <c r="N7" i="48"/>
  <c r="D13" i="48"/>
  <c r="C11" i="48"/>
  <c r="B75" i="48"/>
  <c r="B76" i="48" s="1"/>
  <c r="D75" i="48"/>
  <c r="D76" i="48" s="1"/>
  <c r="F75" i="48"/>
  <c r="F76" i="48" s="1"/>
  <c r="E75" i="48"/>
  <c r="E76" i="48" s="1"/>
  <c r="C75" i="48"/>
  <c r="C76" i="48" s="1"/>
  <c r="E36" i="48"/>
  <c r="B59" i="48"/>
  <c r="F36" i="48"/>
  <c r="C65" i="48"/>
  <c r="G75" i="50" l="1"/>
  <c r="G76" i="50" s="1"/>
  <c r="G30" i="50" s="1"/>
  <c r="G7" i="50"/>
  <c r="H74" i="50"/>
  <c r="H75" i="50" s="1"/>
  <c r="H76" i="50" s="1"/>
  <c r="H9" i="50"/>
  <c r="H5" i="50"/>
  <c r="H59" i="50"/>
  <c r="G11" i="50"/>
  <c r="G59" i="50"/>
  <c r="C42" i="50"/>
  <c r="C44" i="50" s="1"/>
  <c r="K32" i="50"/>
  <c r="C41" i="50"/>
  <c r="I35" i="50"/>
  <c r="G37" i="50"/>
  <c r="B42" i="50"/>
  <c r="I36" i="50"/>
  <c r="D14" i="50"/>
  <c r="F39" i="50"/>
  <c r="L32" i="50"/>
  <c r="H13" i="50"/>
  <c r="H36" i="50"/>
  <c r="D14" i="49"/>
  <c r="D33" i="48"/>
  <c r="E32" i="48"/>
  <c r="C29" i="49"/>
  <c r="I35" i="49"/>
  <c r="J35" i="49" s="1"/>
  <c r="G36" i="49"/>
  <c r="H36" i="49" s="1"/>
  <c r="I36" i="49" s="1"/>
  <c r="D33" i="49"/>
  <c r="E32" i="49"/>
  <c r="G37" i="49"/>
  <c r="B53" i="49"/>
  <c r="B43" i="49"/>
  <c r="B44" i="49"/>
  <c r="H13" i="49"/>
  <c r="M30" i="48"/>
  <c r="B11" i="48"/>
  <c r="B29" i="48"/>
  <c r="B16" i="48"/>
  <c r="G59" i="48"/>
  <c r="G11" i="48"/>
  <c r="E30" i="48"/>
  <c r="F30" i="48"/>
  <c r="F37" i="48"/>
  <c r="E37" i="48"/>
  <c r="G35" i="48"/>
  <c r="H35" i="48" s="1"/>
  <c r="B30" i="48"/>
  <c r="C66" i="48"/>
  <c r="D30" i="48"/>
  <c r="C30" i="48"/>
  <c r="G36" i="48"/>
  <c r="H36" i="48" s="1"/>
  <c r="E13" i="48"/>
  <c r="N5" i="48"/>
  <c r="H30" i="50" l="1"/>
  <c r="I5" i="50"/>
  <c r="I74" i="50"/>
  <c r="I9" i="50"/>
  <c r="I10" i="50" s="1"/>
  <c r="H65" i="50"/>
  <c r="H66" i="50" s="1"/>
  <c r="H10" i="50"/>
  <c r="H11" i="50" s="1"/>
  <c r="I75" i="50"/>
  <c r="I76" i="50" s="1"/>
  <c r="C53" i="50"/>
  <c r="C43" i="50"/>
  <c r="C54" i="50" s="1"/>
  <c r="L33" i="50"/>
  <c r="H37" i="50"/>
  <c r="J35" i="50"/>
  <c r="K33" i="50"/>
  <c r="B53" i="50"/>
  <c r="B43" i="50"/>
  <c r="B44" i="50"/>
  <c r="I13" i="50"/>
  <c r="J13" i="50" s="1"/>
  <c r="K13" i="50" s="1"/>
  <c r="J36" i="50"/>
  <c r="K36" i="50" s="1"/>
  <c r="M32" i="50"/>
  <c r="N32" i="50" s="1"/>
  <c r="I37" i="50"/>
  <c r="J37" i="50" s="1"/>
  <c r="D16" i="50"/>
  <c r="D29" i="50" s="1"/>
  <c r="D39" i="50" s="1"/>
  <c r="D42" i="50" s="1"/>
  <c r="E14" i="50"/>
  <c r="D16" i="49"/>
  <c r="D29" i="49" s="1"/>
  <c r="D39" i="49" s="1"/>
  <c r="D41" i="49" s="1"/>
  <c r="E14" i="49"/>
  <c r="E33" i="48"/>
  <c r="F32" i="48"/>
  <c r="B54" i="49"/>
  <c r="B58" i="49" s="1"/>
  <c r="B60" i="49" s="1"/>
  <c r="K35" i="49"/>
  <c r="L35" i="49" s="1"/>
  <c r="M35" i="49" s="1"/>
  <c r="N35" i="49" s="1"/>
  <c r="C39" i="49"/>
  <c r="E33" i="49"/>
  <c r="E39" i="49"/>
  <c r="H37" i="49"/>
  <c r="I37" i="49" s="1"/>
  <c r="J37" i="49" s="1"/>
  <c r="K37" i="49" s="1"/>
  <c r="L37" i="49" s="1"/>
  <c r="M37" i="49" s="1"/>
  <c r="I13" i="49"/>
  <c r="J13" i="49" s="1"/>
  <c r="K13" i="49" s="1"/>
  <c r="J36" i="49"/>
  <c r="K36" i="49" s="1"/>
  <c r="L36" i="49" s="1"/>
  <c r="M36" i="49" s="1"/>
  <c r="N36" i="49" s="1"/>
  <c r="F32" i="49"/>
  <c r="N11" i="48"/>
  <c r="F13" i="48"/>
  <c r="G13" i="48" s="1"/>
  <c r="B39" i="48"/>
  <c r="N30" i="48"/>
  <c r="I35" i="48"/>
  <c r="C14" i="48"/>
  <c r="I36" i="48"/>
  <c r="G37" i="48"/>
  <c r="I11" i="50" l="1"/>
  <c r="I59" i="50"/>
  <c r="J74" i="50"/>
  <c r="J5" i="50"/>
  <c r="J59" i="50" s="1"/>
  <c r="J9" i="50"/>
  <c r="J10" i="50" s="1"/>
  <c r="J11" i="50" s="1"/>
  <c r="I29" i="50"/>
  <c r="I30" i="50"/>
  <c r="I65" i="50"/>
  <c r="I66" i="50" s="1"/>
  <c r="L13" i="50"/>
  <c r="K37" i="50"/>
  <c r="L37" i="50" s="1"/>
  <c r="M37" i="50" s="1"/>
  <c r="N37" i="50" s="1"/>
  <c r="L36" i="50"/>
  <c r="M36" i="50" s="1"/>
  <c r="N36" i="50" s="1"/>
  <c r="K35" i="50"/>
  <c r="L35" i="50"/>
  <c r="D44" i="50"/>
  <c r="D53" i="50"/>
  <c r="D43" i="50"/>
  <c r="D41" i="50"/>
  <c r="E42" i="50"/>
  <c r="M33" i="50"/>
  <c r="N33" i="50" s="1"/>
  <c r="M13" i="50"/>
  <c r="E16" i="50"/>
  <c r="E41" i="50" s="1"/>
  <c r="F14" i="50"/>
  <c r="B54" i="50"/>
  <c r="B58" i="50" s="1"/>
  <c r="B60" i="50" s="1"/>
  <c r="C57" i="49"/>
  <c r="F14" i="49"/>
  <c r="E16" i="49"/>
  <c r="E41" i="49" s="1"/>
  <c r="J35" i="48"/>
  <c r="K35" i="48" s="1"/>
  <c r="F33" i="48"/>
  <c r="G32" i="48"/>
  <c r="L13" i="49"/>
  <c r="M13" i="49" s="1"/>
  <c r="N13" i="49" s="1"/>
  <c r="C41" i="49"/>
  <c r="C42" i="49"/>
  <c r="E42" i="49"/>
  <c r="F33" i="49"/>
  <c r="G32" i="49"/>
  <c r="D42" i="49"/>
  <c r="N37" i="49"/>
  <c r="H13" i="48"/>
  <c r="I13" i="48" s="1"/>
  <c r="J13" i="48" s="1"/>
  <c r="H37" i="48"/>
  <c r="I37" i="48" s="1"/>
  <c r="J37" i="48" s="1"/>
  <c r="K37" i="48" s="1"/>
  <c r="L37" i="48" s="1"/>
  <c r="M37" i="48" s="1"/>
  <c r="N37" i="48" s="1"/>
  <c r="C16" i="48"/>
  <c r="C29" i="48" s="1"/>
  <c r="C39" i="48" s="1"/>
  <c r="C42" i="48" s="1"/>
  <c r="D14" i="48"/>
  <c r="B42" i="48"/>
  <c r="J36" i="48"/>
  <c r="L36" i="48" s="1"/>
  <c r="K36" i="48"/>
  <c r="I39" i="50" l="1"/>
  <c r="J75" i="50"/>
  <c r="J76" i="50" s="1"/>
  <c r="J65" i="50"/>
  <c r="J66" i="50" s="1"/>
  <c r="K9" i="50"/>
  <c r="K10" i="50" s="1"/>
  <c r="K65" i="50"/>
  <c r="K66" i="50" s="1"/>
  <c r="K74" i="50"/>
  <c r="K75" i="50" s="1"/>
  <c r="K76" i="50" s="1"/>
  <c r="K5" i="50"/>
  <c r="K11" i="50" s="1"/>
  <c r="N13" i="50"/>
  <c r="G14" i="50"/>
  <c r="C58" i="50"/>
  <c r="C57" i="50"/>
  <c r="D54" i="50"/>
  <c r="M35" i="50"/>
  <c r="N35" i="50" s="1"/>
  <c r="F16" i="50"/>
  <c r="F41" i="50" s="1"/>
  <c r="E44" i="50"/>
  <c r="E53" i="50"/>
  <c r="E43" i="50"/>
  <c r="F42" i="50"/>
  <c r="F16" i="49"/>
  <c r="G14" i="49"/>
  <c r="G16" i="49" s="1"/>
  <c r="G29" i="49" s="1"/>
  <c r="G33" i="48"/>
  <c r="H32" i="48"/>
  <c r="L35" i="48"/>
  <c r="M35" i="48" s="1"/>
  <c r="E44" i="49"/>
  <c r="E53" i="49"/>
  <c r="E43" i="49"/>
  <c r="C44" i="49"/>
  <c r="C53" i="49"/>
  <c r="C43" i="49"/>
  <c r="G33" i="49"/>
  <c r="H32" i="49"/>
  <c r="D44" i="49"/>
  <c r="D53" i="49"/>
  <c r="D43" i="49"/>
  <c r="M36" i="48"/>
  <c r="N36" i="48" s="1"/>
  <c r="D16" i="48"/>
  <c r="D29" i="48" s="1"/>
  <c r="E14" i="48"/>
  <c r="C44" i="48"/>
  <c r="C53" i="48"/>
  <c r="C43" i="48"/>
  <c r="K13" i="48"/>
  <c r="B44" i="48"/>
  <c r="B53" i="48"/>
  <c r="B43" i="48"/>
  <c r="C41" i="48"/>
  <c r="K59" i="50" l="1"/>
  <c r="K30" i="50"/>
  <c r="K29" i="50"/>
  <c r="J29" i="50"/>
  <c r="J30" i="50"/>
  <c r="L74" i="50"/>
  <c r="L75" i="50" s="1"/>
  <c r="L76" i="50" s="1"/>
  <c r="L30" i="50" s="1"/>
  <c r="L5" i="50"/>
  <c r="L59" i="50" s="1"/>
  <c r="L9" i="50"/>
  <c r="L65" i="50" s="1"/>
  <c r="L66" i="50" s="1"/>
  <c r="M6" i="50"/>
  <c r="N6" i="50" s="1"/>
  <c r="N3" i="50"/>
  <c r="E54" i="50"/>
  <c r="G16" i="50"/>
  <c r="F44" i="50"/>
  <c r="F53" i="50"/>
  <c r="F43" i="50"/>
  <c r="H14" i="50"/>
  <c r="D57" i="50"/>
  <c r="C60" i="50"/>
  <c r="F29" i="49"/>
  <c r="F39" i="49" s="1"/>
  <c r="F42" i="49" s="1"/>
  <c r="H14" i="49"/>
  <c r="H33" i="48"/>
  <c r="I32" i="48"/>
  <c r="N35" i="48"/>
  <c r="D54" i="49"/>
  <c r="G39" i="49"/>
  <c r="E54" i="49"/>
  <c r="H33" i="49"/>
  <c r="I32" i="49"/>
  <c r="C54" i="49"/>
  <c r="C58" i="49" s="1"/>
  <c r="B54" i="48"/>
  <c r="B58" i="48" s="1"/>
  <c r="B60" i="48" s="1"/>
  <c r="C54" i="48"/>
  <c r="L13" i="48"/>
  <c r="E16" i="48"/>
  <c r="E29" i="48" s="1"/>
  <c r="F14" i="48"/>
  <c r="L29" i="50" l="1"/>
  <c r="J39" i="50"/>
  <c r="N5" i="50"/>
  <c r="M9" i="50"/>
  <c r="M10" i="50" s="1"/>
  <c r="N10" i="50" s="1"/>
  <c r="M11" i="50"/>
  <c r="M59" i="50"/>
  <c r="M74" i="50"/>
  <c r="M7" i="50" s="1"/>
  <c r="N7" i="50" s="1"/>
  <c r="M65" i="50"/>
  <c r="M66" i="50" s="1"/>
  <c r="M5" i="50"/>
  <c r="L10" i="50"/>
  <c r="L11" i="50" s="1"/>
  <c r="K39" i="50"/>
  <c r="L39" i="50"/>
  <c r="F54" i="50"/>
  <c r="H16" i="50"/>
  <c r="I14" i="50"/>
  <c r="G29" i="50"/>
  <c r="D58" i="50"/>
  <c r="E57" i="50" s="1"/>
  <c r="F41" i="49"/>
  <c r="F44" i="49"/>
  <c r="F53" i="49"/>
  <c r="F43" i="49"/>
  <c r="I14" i="49"/>
  <c r="H16" i="49"/>
  <c r="I33" i="48"/>
  <c r="J32" i="48"/>
  <c r="J33" i="48" s="1"/>
  <c r="K32" i="48"/>
  <c r="K33" i="48" s="1"/>
  <c r="L32" i="48"/>
  <c r="L33" i="48" s="1"/>
  <c r="D57" i="49"/>
  <c r="G41" i="49"/>
  <c r="G42" i="49"/>
  <c r="I33" i="49"/>
  <c r="I39" i="49"/>
  <c r="J32" i="49"/>
  <c r="C60" i="49"/>
  <c r="C58" i="48"/>
  <c r="C57" i="48"/>
  <c r="M13" i="48"/>
  <c r="D39" i="48"/>
  <c r="F16" i="48"/>
  <c r="F29" i="48" s="1"/>
  <c r="F39" i="48" s="1"/>
  <c r="G14" i="48"/>
  <c r="H14" i="48" s="1"/>
  <c r="E39" i="48"/>
  <c r="H29" i="50" l="1"/>
  <c r="H39" i="50" s="1"/>
  <c r="H41" i="50" s="1"/>
  <c r="N11" i="50"/>
  <c r="N9" i="50"/>
  <c r="M75" i="50"/>
  <c r="M76" i="50" s="1"/>
  <c r="G39" i="50"/>
  <c r="I42" i="50" s="1"/>
  <c r="I16" i="50"/>
  <c r="I41" i="50" s="1"/>
  <c r="J14" i="50"/>
  <c r="J42" i="50" s="1"/>
  <c r="E58" i="50"/>
  <c r="F57" i="50" s="1"/>
  <c r="D60" i="50"/>
  <c r="H29" i="49"/>
  <c r="H39" i="49" s="1"/>
  <c r="H42" i="49" s="1"/>
  <c r="H43" i="49" s="1"/>
  <c r="F54" i="49"/>
  <c r="I16" i="49"/>
  <c r="I41" i="49" s="1"/>
  <c r="J14" i="49"/>
  <c r="M32" i="48"/>
  <c r="M33" i="48" s="1"/>
  <c r="N33" i="48" s="1"/>
  <c r="J33" i="49"/>
  <c r="K32" i="49"/>
  <c r="G53" i="49"/>
  <c r="G43" i="49"/>
  <c r="G44" i="49"/>
  <c r="D58" i="49"/>
  <c r="F42" i="48"/>
  <c r="F53" i="48" s="1"/>
  <c r="C60" i="48"/>
  <c r="D57" i="48"/>
  <c r="F41" i="48"/>
  <c r="E41" i="48"/>
  <c r="N13" i="48"/>
  <c r="D42" i="48"/>
  <c r="E42" i="48"/>
  <c r="D41" i="48"/>
  <c r="G16" i="48"/>
  <c r="G29" i="48" s="1"/>
  <c r="H16" i="48"/>
  <c r="I14" i="48"/>
  <c r="J14" i="48" s="1"/>
  <c r="M30" i="50" l="1"/>
  <c r="N30" i="50" s="1"/>
  <c r="M29" i="50"/>
  <c r="G42" i="50"/>
  <c r="H42" i="50"/>
  <c r="G41" i="50"/>
  <c r="J53" i="50"/>
  <c r="J43" i="50"/>
  <c r="J44" i="50"/>
  <c r="F58" i="50"/>
  <c r="G57" i="50" s="1"/>
  <c r="E60" i="50"/>
  <c r="I53" i="50"/>
  <c r="I43" i="50"/>
  <c r="I44" i="50"/>
  <c r="K14" i="50"/>
  <c r="J16" i="50"/>
  <c r="J41" i="50" s="1"/>
  <c r="H53" i="49"/>
  <c r="I42" i="49"/>
  <c r="I44" i="49" s="1"/>
  <c r="H44" i="49"/>
  <c r="H41" i="49"/>
  <c r="J16" i="49"/>
  <c r="J29" i="49" s="1"/>
  <c r="N29" i="49" s="1"/>
  <c r="K14" i="49"/>
  <c r="N32" i="48"/>
  <c r="D60" i="49"/>
  <c r="E57" i="49"/>
  <c r="E58" i="49" s="1"/>
  <c r="G54" i="49"/>
  <c r="K33" i="49"/>
  <c r="K39" i="49"/>
  <c r="L32" i="49"/>
  <c r="F44" i="48"/>
  <c r="F43" i="48"/>
  <c r="H39" i="48"/>
  <c r="H41" i="48" s="1"/>
  <c r="G39" i="48"/>
  <c r="J16" i="48"/>
  <c r="J29" i="48" s="1"/>
  <c r="K14" i="48"/>
  <c r="D44" i="48"/>
  <c r="D53" i="48"/>
  <c r="D43" i="48"/>
  <c r="E53" i="48"/>
  <c r="E43" i="48"/>
  <c r="E44" i="48"/>
  <c r="I16" i="48"/>
  <c r="I29" i="48" s="1"/>
  <c r="M39" i="50" l="1"/>
  <c r="N39" i="50" s="1"/>
  <c r="N29" i="50"/>
  <c r="H53" i="50"/>
  <c r="H43" i="50"/>
  <c r="H44" i="50"/>
  <c r="G53" i="50"/>
  <c r="G43" i="50"/>
  <c r="G44" i="50"/>
  <c r="L14" i="50"/>
  <c r="K16" i="50"/>
  <c r="K41" i="50" s="1"/>
  <c r="K42" i="50"/>
  <c r="I54" i="50"/>
  <c r="J54" i="50"/>
  <c r="F60" i="50"/>
  <c r="I53" i="49"/>
  <c r="H54" i="49"/>
  <c r="I43" i="49"/>
  <c r="I54" i="49" s="1"/>
  <c r="J39" i="49"/>
  <c r="K42" i="49" s="1"/>
  <c r="K16" i="49"/>
  <c r="K41" i="49"/>
  <c r="L14" i="49"/>
  <c r="L16" i="49" s="1"/>
  <c r="F57" i="49"/>
  <c r="F58" i="49" s="1"/>
  <c r="E60" i="49"/>
  <c r="L33" i="49"/>
  <c r="L39" i="49" s="1"/>
  <c r="M32" i="49"/>
  <c r="F54" i="48"/>
  <c r="G42" i="48"/>
  <c r="H42" i="48"/>
  <c r="G41" i="48"/>
  <c r="I39" i="48"/>
  <c r="I42" i="48" s="1"/>
  <c r="I53" i="48" s="1"/>
  <c r="E54" i="48"/>
  <c r="D54" i="48"/>
  <c r="D58" i="48" s="1"/>
  <c r="K16" i="48"/>
  <c r="K29" i="48" s="1"/>
  <c r="L14" i="48"/>
  <c r="G54" i="50" l="1"/>
  <c r="G58" i="50" s="1"/>
  <c r="H57" i="50" s="1"/>
  <c r="M14" i="50"/>
  <c r="L16" i="50"/>
  <c r="L41" i="50" s="1"/>
  <c r="L42" i="50"/>
  <c r="H54" i="50"/>
  <c r="K53" i="50"/>
  <c r="K43" i="50"/>
  <c r="K44" i="50"/>
  <c r="J41" i="49"/>
  <c r="J42" i="49"/>
  <c r="M14" i="49"/>
  <c r="M16" i="49" s="1"/>
  <c r="N16" i="49" s="1"/>
  <c r="L42" i="49"/>
  <c r="L41" i="49"/>
  <c r="J53" i="49"/>
  <c r="J43" i="49"/>
  <c r="J44" i="49"/>
  <c r="K43" i="49"/>
  <c r="K44" i="49"/>
  <c r="K53" i="49"/>
  <c r="M33" i="49"/>
  <c r="N33" i="49" s="1"/>
  <c r="N32" i="49"/>
  <c r="G57" i="49"/>
  <c r="G58" i="49" s="1"/>
  <c r="F60" i="49"/>
  <c r="I44" i="48"/>
  <c r="I43" i="48"/>
  <c r="I41" i="48"/>
  <c r="H53" i="48"/>
  <c r="H44" i="48"/>
  <c r="H43" i="48"/>
  <c r="G53" i="48"/>
  <c r="G43" i="48"/>
  <c r="G44" i="48"/>
  <c r="M14" i="48"/>
  <c r="L16" i="48"/>
  <c r="L29" i="48" s="1"/>
  <c r="K39" i="48"/>
  <c r="K41" i="48" s="1"/>
  <c r="E57" i="48"/>
  <c r="E58" i="48" s="1"/>
  <c r="J39" i="48"/>
  <c r="D60" i="48"/>
  <c r="G60" i="50" l="1"/>
  <c r="H58" i="50"/>
  <c r="I57" i="50" s="1"/>
  <c r="K54" i="50"/>
  <c r="L44" i="50"/>
  <c r="L53" i="50"/>
  <c r="L43" i="50"/>
  <c r="M16" i="50"/>
  <c r="N14" i="50"/>
  <c r="M42" i="50"/>
  <c r="N14" i="49"/>
  <c r="K54" i="49"/>
  <c r="H57" i="49"/>
  <c r="G60" i="49"/>
  <c r="M39" i="49"/>
  <c r="J54" i="49"/>
  <c r="L44" i="49"/>
  <c r="L53" i="49"/>
  <c r="L43" i="49"/>
  <c r="I54" i="48"/>
  <c r="G54" i="48"/>
  <c r="H54" i="48"/>
  <c r="F57" i="48"/>
  <c r="F58" i="48" s="1"/>
  <c r="E60" i="48"/>
  <c r="J42" i="48"/>
  <c r="K42" i="48"/>
  <c r="J41" i="48"/>
  <c r="L39" i="48"/>
  <c r="L41" i="48" s="1"/>
  <c r="M16" i="48"/>
  <c r="M29" i="48" s="1"/>
  <c r="N14" i="48"/>
  <c r="H60" i="50" l="1"/>
  <c r="M41" i="50"/>
  <c r="N16" i="50"/>
  <c r="L54" i="50"/>
  <c r="M44" i="50"/>
  <c r="M53" i="50"/>
  <c r="M43" i="50"/>
  <c r="I58" i="50"/>
  <c r="J57" i="50" s="1"/>
  <c r="N39" i="49"/>
  <c r="M41" i="49"/>
  <c r="M42" i="49"/>
  <c r="L54" i="49"/>
  <c r="H58" i="49"/>
  <c r="N16" i="48"/>
  <c r="K44" i="48"/>
  <c r="K53" i="48"/>
  <c r="K43" i="48"/>
  <c r="J44" i="48"/>
  <c r="J43" i="48"/>
  <c r="J53" i="48"/>
  <c r="G57" i="48"/>
  <c r="G58" i="48" s="1"/>
  <c r="F60" i="48"/>
  <c r="L42" i="48"/>
  <c r="J58" i="50" l="1"/>
  <c r="J60" i="50" s="1"/>
  <c r="M54" i="50"/>
  <c r="I60" i="50"/>
  <c r="M44" i="49"/>
  <c r="M53" i="49"/>
  <c r="M43" i="49"/>
  <c r="H60" i="49"/>
  <c r="I57" i="49"/>
  <c r="I58" i="49" s="1"/>
  <c r="J54" i="48"/>
  <c r="K54" i="48"/>
  <c r="L44" i="48"/>
  <c r="L53" i="48"/>
  <c r="L43" i="48"/>
  <c r="M39" i="48"/>
  <c r="N29" i="48"/>
  <c r="H57" i="48"/>
  <c r="G60" i="48"/>
  <c r="K58" i="50" l="1"/>
  <c r="K57" i="50"/>
  <c r="J57" i="49"/>
  <c r="I60" i="49"/>
  <c r="J58" i="49"/>
  <c r="M54" i="49"/>
  <c r="M42" i="48"/>
  <c r="N39" i="48"/>
  <c r="M41" i="48"/>
  <c r="L54" i="48"/>
  <c r="H58" i="48"/>
  <c r="L57" i="50" l="1"/>
  <c r="K60" i="50"/>
  <c r="L58" i="50"/>
  <c r="K58" i="49"/>
  <c r="K57" i="49"/>
  <c r="J60" i="49"/>
  <c r="M53" i="48"/>
  <c r="M43" i="48"/>
  <c r="M44" i="48"/>
  <c r="H60" i="48"/>
  <c r="I57" i="48"/>
  <c r="M58" i="50" l="1"/>
  <c r="N58" i="50" s="1"/>
  <c r="M57" i="50"/>
  <c r="L60" i="50"/>
  <c r="L57" i="49"/>
  <c r="K60" i="49"/>
  <c r="L58" i="49"/>
  <c r="M54" i="48"/>
  <c r="I58" i="48"/>
  <c r="M60" i="50" l="1"/>
  <c r="M57" i="49"/>
  <c r="M58" i="49" s="1"/>
  <c r="N58" i="49" s="1"/>
  <c r="L60" i="49"/>
  <c r="J57" i="48"/>
  <c r="J58" i="48" s="1"/>
  <c r="I60" i="48"/>
  <c r="M60" i="49" l="1"/>
  <c r="K57" i="48"/>
  <c r="J60" i="48"/>
  <c r="K58" i="48"/>
  <c r="L57" i="48" l="1"/>
  <c r="L58" i="48" s="1"/>
  <c r="K60" i="48"/>
  <c r="M57" i="48" l="1"/>
  <c r="L60" i="48"/>
  <c r="M58" i="48"/>
  <c r="N58" i="48" s="1"/>
  <c r="M60" i="48" l="1"/>
  <c r="A10" i="12" l="1"/>
  <c r="A9" i="12"/>
  <c r="A8" i="12"/>
  <c r="A7" i="12"/>
  <c r="A6" i="12"/>
  <c r="A5" i="12"/>
  <c r="A4" i="12"/>
  <c r="A3" i="12"/>
  <c r="D142" i="12" l="1"/>
  <c r="D141" i="12"/>
  <c r="D140" i="12"/>
  <c r="D139" i="12"/>
  <c r="D138" i="12"/>
  <c r="D137" i="12"/>
  <c r="D136" i="12"/>
  <c r="D135" i="12"/>
  <c r="D134" i="12"/>
  <c r="D133" i="12"/>
  <c r="B142" i="12"/>
  <c r="A142" i="12"/>
  <c r="E142" i="12" s="1"/>
  <c r="B141" i="12"/>
  <c r="A141" i="12"/>
  <c r="E141" i="12" s="1"/>
  <c r="B140" i="12"/>
  <c r="A140" i="12"/>
  <c r="E140" i="12" s="1"/>
  <c r="B139" i="12"/>
  <c r="A139" i="12"/>
  <c r="E139" i="12" s="1"/>
  <c r="B138" i="12"/>
  <c r="A138" i="12"/>
  <c r="E138" i="12" s="1"/>
  <c r="B137" i="12"/>
  <c r="A137" i="12"/>
  <c r="B136" i="12"/>
  <c r="A136" i="12"/>
  <c r="E136" i="12" s="1"/>
  <c r="B135" i="12"/>
  <c r="A135" i="12"/>
  <c r="E135" i="12" s="1"/>
  <c r="C134" i="12"/>
  <c r="B134" i="12"/>
  <c r="A134" i="12"/>
  <c r="D130" i="12"/>
  <c r="D129" i="12"/>
  <c r="D128" i="12"/>
  <c r="D127" i="12"/>
  <c r="D126" i="12"/>
  <c r="D125" i="12"/>
  <c r="D124" i="12"/>
  <c r="D123" i="12"/>
  <c r="D122" i="12"/>
  <c r="D121" i="12"/>
  <c r="B130" i="12"/>
  <c r="A130" i="12"/>
  <c r="E130" i="12" s="1"/>
  <c r="A129" i="12"/>
  <c r="E129" i="12" s="1"/>
  <c r="A128" i="12"/>
  <c r="E128" i="12" s="1"/>
  <c r="A127" i="12"/>
  <c r="E127" i="12" s="1"/>
  <c r="B126" i="12"/>
  <c r="A126" i="12"/>
  <c r="E126" i="12" s="1"/>
  <c r="A125" i="12"/>
  <c r="A124" i="12"/>
  <c r="E124" i="12" s="1"/>
  <c r="A123" i="12"/>
  <c r="E123" i="12" s="1"/>
  <c r="C122" i="12"/>
  <c r="A122" i="12"/>
  <c r="D118" i="12"/>
  <c r="D117" i="12"/>
  <c r="D116" i="12"/>
  <c r="D115" i="12"/>
  <c r="D114" i="12"/>
  <c r="D113" i="12"/>
  <c r="D112" i="12"/>
  <c r="D111" i="12"/>
  <c r="D110" i="12"/>
  <c r="D109" i="12"/>
  <c r="A118" i="12"/>
  <c r="E118" i="12" s="1"/>
  <c r="A117" i="12"/>
  <c r="E117" i="12" s="1"/>
  <c r="A116" i="12"/>
  <c r="E116" i="12" s="1"/>
  <c r="A115" i="12"/>
  <c r="E115" i="12" s="1"/>
  <c r="A114" i="12"/>
  <c r="E114" i="12" s="1"/>
  <c r="A113" i="12"/>
  <c r="A112" i="12"/>
  <c r="E112" i="12" s="1"/>
  <c r="A111" i="12"/>
  <c r="E111" i="12" s="1"/>
  <c r="C110" i="12"/>
  <c r="A110" i="12"/>
  <c r="D106" i="12"/>
  <c r="D105" i="12"/>
  <c r="D104" i="12"/>
  <c r="D103" i="12"/>
  <c r="D102" i="12"/>
  <c r="D101" i="12"/>
  <c r="D100" i="12"/>
  <c r="D99" i="12"/>
  <c r="D98" i="12"/>
  <c r="D97" i="12"/>
  <c r="A106" i="12"/>
  <c r="E106" i="12" s="1"/>
  <c r="A105" i="12"/>
  <c r="E105" i="12" s="1"/>
  <c r="A104" i="12"/>
  <c r="E104" i="12" s="1"/>
  <c r="A103" i="12"/>
  <c r="E103" i="12" s="1"/>
  <c r="A102" i="12"/>
  <c r="E102" i="12" s="1"/>
  <c r="A101" i="12"/>
  <c r="A100" i="12"/>
  <c r="E100" i="12" s="1"/>
  <c r="A99" i="12"/>
  <c r="E99" i="12" s="1"/>
  <c r="C98" i="12"/>
  <c r="A98" i="12"/>
  <c r="D94" i="12"/>
  <c r="D93" i="12"/>
  <c r="D92" i="12"/>
  <c r="D91" i="12"/>
  <c r="D90" i="12"/>
  <c r="D89" i="12"/>
  <c r="D88" i="12"/>
  <c r="D87" i="12"/>
  <c r="D86" i="12"/>
  <c r="D85" i="12"/>
  <c r="A94" i="12"/>
  <c r="E94" i="12" s="1"/>
  <c r="A93" i="12"/>
  <c r="E93" i="12" s="1"/>
  <c r="A92" i="12"/>
  <c r="E92" i="12" s="1"/>
  <c r="A91" i="12"/>
  <c r="E91" i="12" s="1"/>
  <c r="A90" i="12"/>
  <c r="E90" i="12" s="1"/>
  <c r="A89" i="12"/>
  <c r="A88" i="12"/>
  <c r="E88" i="12" s="1"/>
  <c r="A87" i="12"/>
  <c r="E87" i="12" s="1"/>
  <c r="C86" i="12"/>
  <c r="A86" i="12"/>
  <c r="D82" i="12"/>
  <c r="D81" i="12"/>
  <c r="D80" i="12"/>
  <c r="D79" i="12"/>
  <c r="D78" i="12"/>
  <c r="D77" i="12"/>
  <c r="D76" i="12"/>
  <c r="D75" i="12"/>
  <c r="D74" i="12"/>
  <c r="D73" i="12"/>
  <c r="A82" i="12"/>
  <c r="E82" i="12" s="1"/>
  <c r="A81" i="12"/>
  <c r="E81" i="12" s="1"/>
  <c r="A80" i="12"/>
  <c r="E80" i="12" s="1"/>
  <c r="A79" i="12"/>
  <c r="E79" i="12" s="1"/>
  <c r="A78" i="12"/>
  <c r="E78" i="12" s="1"/>
  <c r="A77" i="12"/>
  <c r="A76" i="12"/>
  <c r="E76" i="12" s="1"/>
  <c r="A75" i="12"/>
  <c r="E75" i="12" s="1"/>
  <c r="C74" i="12"/>
  <c r="A74" i="12"/>
  <c r="A62" i="12"/>
  <c r="C62" i="12"/>
  <c r="D62" i="12"/>
  <c r="A63" i="12"/>
  <c r="E63" i="12" s="1"/>
  <c r="D63" i="12"/>
  <c r="A64" i="12"/>
  <c r="E64" i="12" s="1"/>
  <c r="D64" i="12"/>
  <c r="A65" i="12"/>
  <c r="D65" i="12"/>
  <c r="A66" i="12"/>
  <c r="E66" i="12" s="1"/>
  <c r="D66" i="12"/>
  <c r="A67" i="12"/>
  <c r="E67" i="12" s="1"/>
  <c r="D67" i="12"/>
  <c r="A68" i="12"/>
  <c r="E68" i="12" s="1"/>
  <c r="D68" i="12"/>
  <c r="A69" i="12"/>
  <c r="E69" i="12" s="1"/>
  <c r="D69" i="12"/>
  <c r="A70" i="12"/>
  <c r="E70" i="12" s="1"/>
  <c r="D70" i="12"/>
  <c r="D61" i="12"/>
  <c r="D58" i="12"/>
  <c r="D57" i="12"/>
  <c r="D56" i="12"/>
  <c r="D55" i="12"/>
  <c r="D54" i="12"/>
  <c r="D53" i="12"/>
  <c r="D52" i="12"/>
  <c r="D51" i="12"/>
  <c r="D50" i="12"/>
  <c r="D49" i="12"/>
  <c r="A58" i="12"/>
  <c r="A57" i="12"/>
  <c r="A56" i="12"/>
  <c r="A55" i="12"/>
  <c r="A54" i="12"/>
  <c r="A53" i="12"/>
  <c r="A52" i="12"/>
  <c r="A51" i="12"/>
  <c r="C50" i="12"/>
  <c r="A50" i="12"/>
  <c r="E49" i="12"/>
  <c r="C49" i="12"/>
  <c r="B49" i="12"/>
  <c r="A49" i="12"/>
  <c r="D46" i="12"/>
  <c r="D45" i="12"/>
  <c r="D44" i="12"/>
  <c r="D43" i="12"/>
  <c r="D42" i="12"/>
  <c r="D41" i="12"/>
  <c r="D40" i="12"/>
  <c r="D39" i="12"/>
  <c r="D38" i="12"/>
  <c r="D37" i="12"/>
  <c r="A46" i="12"/>
  <c r="A45" i="12"/>
  <c r="A44" i="12"/>
  <c r="A43" i="12"/>
  <c r="A42" i="12"/>
  <c r="A41" i="12"/>
  <c r="A40" i="12"/>
  <c r="A39" i="12"/>
  <c r="C38" i="12"/>
  <c r="A38" i="12"/>
  <c r="D34" i="12"/>
  <c r="D33" i="12"/>
  <c r="D32" i="12"/>
  <c r="D31" i="12"/>
  <c r="D30" i="12"/>
  <c r="D29" i="12"/>
  <c r="D28" i="12"/>
  <c r="D27" i="12"/>
  <c r="D26" i="12"/>
  <c r="D25" i="12"/>
  <c r="D22" i="12"/>
  <c r="D21" i="12"/>
  <c r="D20" i="12"/>
  <c r="D19" i="12"/>
  <c r="D18" i="12"/>
  <c r="D17" i="12"/>
  <c r="D16" i="12"/>
  <c r="D15" i="12"/>
  <c r="D14" i="12"/>
  <c r="D13" i="12"/>
  <c r="A34" i="12"/>
  <c r="A33" i="12"/>
  <c r="A32" i="12"/>
  <c r="A31" i="12"/>
  <c r="A30" i="12"/>
  <c r="A29" i="12"/>
  <c r="A28" i="12"/>
  <c r="A27" i="12"/>
  <c r="C26" i="12"/>
  <c r="A26" i="12"/>
  <c r="A22" i="12"/>
  <c r="A21" i="12"/>
  <c r="A20" i="12"/>
  <c r="A19" i="12"/>
  <c r="A18" i="12"/>
  <c r="A17" i="12"/>
  <c r="A16" i="12"/>
  <c r="A15" i="12"/>
  <c r="C14" i="12"/>
  <c r="A14" i="12"/>
  <c r="B22" i="12"/>
  <c r="B21" i="12"/>
  <c r="B20" i="12"/>
  <c r="B43" i="12"/>
  <c r="B30" i="12"/>
  <c r="B17" i="12"/>
  <c r="B16" i="12"/>
  <c r="E10" i="12"/>
  <c r="E34" i="12" s="1"/>
  <c r="E9" i="12"/>
  <c r="E21" i="12" s="1"/>
  <c r="E8" i="12"/>
  <c r="E20" i="12" s="1"/>
  <c r="E7" i="12"/>
  <c r="E19" i="12" s="1"/>
  <c r="E6" i="12"/>
  <c r="E18" i="12" s="1"/>
  <c r="E5" i="12"/>
  <c r="E17" i="12" s="1"/>
  <c r="E137" i="12" l="1"/>
  <c r="E125" i="12"/>
  <c r="E113" i="12"/>
  <c r="E101" i="12"/>
  <c r="E89" i="12"/>
  <c r="E77" i="12"/>
  <c r="E65" i="12"/>
  <c r="B124" i="12"/>
  <c r="B128" i="12"/>
  <c r="B125" i="12"/>
  <c r="B129" i="12"/>
  <c r="B127" i="12"/>
  <c r="B114" i="12"/>
  <c r="B118" i="12"/>
  <c r="B113" i="12"/>
  <c r="B117" i="12"/>
  <c r="B112" i="12"/>
  <c r="B116" i="12"/>
  <c r="B106" i="12"/>
  <c r="B102" i="12"/>
  <c r="B115" i="12"/>
  <c r="B101" i="12"/>
  <c r="B105" i="12"/>
  <c r="B78" i="12"/>
  <c r="B89" i="12"/>
  <c r="B100" i="12"/>
  <c r="B104" i="12"/>
  <c r="B93" i="12"/>
  <c r="B103" i="12"/>
  <c r="B88" i="12"/>
  <c r="B92" i="12"/>
  <c r="B82" i="12"/>
  <c r="B90" i="12"/>
  <c r="B94" i="12"/>
  <c r="B91" i="12"/>
  <c r="B81" i="12"/>
  <c r="B76" i="12"/>
  <c r="B80" i="12"/>
  <c r="B77" i="12"/>
  <c r="B79" i="12"/>
  <c r="B56" i="12"/>
  <c r="B52" i="12"/>
  <c r="E54" i="12"/>
  <c r="E53" i="12"/>
  <c r="E55" i="12"/>
  <c r="E57" i="12"/>
  <c r="B70" i="12"/>
  <c r="B69" i="12"/>
  <c r="B68" i="12"/>
  <c r="B67" i="12"/>
  <c r="B66" i="12"/>
  <c r="B65" i="12"/>
  <c r="B64" i="12"/>
  <c r="E58" i="12"/>
  <c r="E30" i="12"/>
  <c r="B53" i="12"/>
  <c r="B54" i="12"/>
  <c r="B55" i="12"/>
  <c r="E44" i="12"/>
  <c r="E56" i="12"/>
  <c r="B57" i="12"/>
  <c r="B58" i="12"/>
  <c r="B19" i="12"/>
  <c r="E22" i="12"/>
  <c r="E46" i="12"/>
  <c r="E42" i="12"/>
  <c r="B18" i="12"/>
  <c r="E32" i="12"/>
  <c r="E45" i="12"/>
  <c r="E41" i="12"/>
  <c r="E43" i="12"/>
  <c r="E29" i="12"/>
  <c r="B31" i="12"/>
  <c r="E33" i="12"/>
  <c r="B40" i="12"/>
  <c r="B41" i="12"/>
  <c r="B42" i="12"/>
  <c r="B44" i="12"/>
  <c r="B45" i="12"/>
  <c r="B46" i="12"/>
  <c r="B28" i="12"/>
  <c r="B29" i="12"/>
  <c r="B32" i="12"/>
  <c r="B33" i="12"/>
  <c r="B34" i="12"/>
  <c r="E31" i="12"/>
  <c r="C133" i="12" l="1"/>
  <c r="B133" i="12"/>
  <c r="A133" i="12"/>
  <c r="C121" i="12"/>
  <c r="B121" i="12"/>
  <c r="A121" i="12"/>
  <c r="C109" i="12"/>
  <c r="B109" i="12"/>
  <c r="A109" i="12"/>
  <c r="C97" i="12"/>
  <c r="B97" i="12"/>
  <c r="A97" i="12"/>
  <c r="C85" i="12"/>
  <c r="B85" i="12"/>
  <c r="A85" i="12"/>
  <c r="C73" i="12"/>
  <c r="B73" i="12"/>
  <c r="A73" i="12"/>
  <c r="C61" i="12"/>
  <c r="B61" i="12"/>
  <c r="A61" i="12"/>
  <c r="E37" i="12"/>
  <c r="C37" i="12"/>
  <c r="B37" i="12"/>
  <c r="A37" i="12"/>
  <c r="E25" i="12"/>
  <c r="C25" i="12"/>
  <c r="B25" i="12"/>
  <c r="A25" i="12"/>
  <c r="E13" i="12"/>
  <c r="C13" i="12"/>
  <c r="B13" i="12"/>
  <c r="A13" i="12"/>
  <c r="E4" i="12"/>
  <c r="E3" i="12"/>
  <c r="E51" i="12" s="1"/>
  <c r="E2" i="12"/>
  <c r="E50" i="12" s="1"/>
  <c r="B110" i="12" l="1"/>
  <c r="B122" i="12"/>
  <c r="B111" i="12"/>
  <c r="B123" i="12"/>
  <c r="B86" i="12"/>
  <c r="B98" i="12"/>
  <c r="B87" i="12"/>
  <c r="B99" i="12"/>
  <c r="B63" i="12"/>
  <c r="B75" i="12"/>
  <c r="B62" i="12"/>
  <c r="B74" i="12"/>
  <c r="B51" i="12"/>
  <c r="B50" i="12"/>
  <c r="E40" i="12"/>
  <c r="E52" i="12"/>
  <c r="E26" i="12"/>
  <c r="E38" i="12"/>
  <c r="B27" i="12"/>
  <c r="B39" i="12"/>
  <c r="E27" i="12"/>
  <c r="E39" i="12"/>
  <c r="B26" i="12"/>
  <c r="B38" i="12"/>
  <c r="E16" i="12"/>
  <c r="E28" i="12"/>
  <c r="B14" i="12"/>
  <c r="E15" i="12"/>
  <c r="E14" i="12"/>
  <c r="B15" i="12"/>
  <c r="C3" i="12"/>
  <c r="C135" i="12" l="1"/>
  <c r="C111" i="12"/>
  <c r="C123" i="12"/>
  <c r="C87" i="12"/>
  <c r="C99" i="12"/>
  <c r="C63" i="12"/>
  <c r="C75" i="12"/>
  <c r="C39" i="12"/>
  <c r="C51" i="12"/>
  <c r="C15" i="12"/>
  <c r="C27" i="12"/>
  <c r="C4" i="12"/>
  <c r="C136" i="12" l="1"/>
  <c r="C112" i="12"/>
  <c r="C124" i="12"/>
  <c r="C88" i="12"/>
  <c r="C100" i="12"/>
  <c r="C64" i="12"/>
  <c r="C76" i="12"/>
  <c r="C52" i="12"/>
  <c r="C28" i="12"/>
  <c r="C40" i="12"/>
  <c r="C5" i="12"/>
  <c r="C16" i="12"/>
  <c r="C137" i="12" l="1"/>
  <c r="C113" i="12"/>
  <c r="C125" i="12"/>
  <c r="C89" i="12"/>
  <c r="C101" i="12"/>
  <c r="C65" i="12"/>
  <c r="C77" i="12"/>
  <c r="C53" i="12"/>
  <c r="C29" i="12"/>
  <c r="C41" i="12"/>
  <c r="C6" i="12"/>
  <c r="C17" i="12"/>
  <c r="C138" i="12" l="1"/>
  <c r="C114" i="12"/>
  <c r="C126" i="12"/>
  <c r="C90" i="12"/>
  <c r="C102" i="12"/>
  <c r="C66" i="12"/>
  <c r="C78" i="12"/>
  <c r="C54" i="12"/>
  <c r="C30" i="12"/>
  <c r="C42" i="12"/>
  <c r="C7" i="12"/>
  <c r="C18" i="12"/>
  <c r="C139" i="12" l="1"/>
  <c r="C115" i="12"/>
  <c r="C127" i="12"/>
  <c r="C91" i="12"/>
  <c r="C103" i="12"/>
  <c r="C67" i="12"/>
  <c r="C79" i="12"/>
  <c r="C55" i="12"/>
  <c r="C31" i="12"/>
  <c r="C43" i="12"/>
  <c r="C8" i="12"/>
  <c r="C9" i="12" s="1"/>
  <c r="C19" i="12"/>
  <c r="C140" i="12" l="1"/>
  <c r="C116" i="12"/>
  <c r="C128" i="12"/>
  <c r="C92" i="12"/>
  <c r="C104" i="12"/>
  <c r="C68" i="12"/>
  <c r="C80" i="12"/>
  <c r="C44" i="12"/>
  <c r="C56" i="12"/>
  <c r="C32" i="12"/>
  <c r="C20" i="12"/>
  <c r="C141" i="12" l="1"/>
  <c r="C117" i="12"/>
  <c r="C129" i="12"/>
  <c r="C93" i="12"/>
  <c r="C105" i="12"/>
  <c r="C69" i="12"/>
  <c r="C81" i="12"/>
  <c r="C57" i="12"/>
  <c r="C33" i="12"/>
  <c r="C45" i="12"/>
  <c r="C10" i="12"/>
  <c r="C21" i="12"/>
  <c r="C142" i="12" l="1"/>
  <c r="C118" i="12"/>
  <c r="C130" i="12"/>
  <c r="C94" i="12"/>
  <c r="C106" i="12"/>
  <c r="C70" i="12"/>
  <c r="C82" i="12"/>
  <c r="C58" i="12"/>
  <c r="C34" i="12"/>
  <c r="C46" i="12"/>
  <c r="C22" i="12"/>
</calcChain>
</file>

<file path=xl/sharedStrings.xml><?xml version="1.0" encoding="utf-8"?>
<sst xmlns="http://schemas.openxmlformats.org/spreadsheetml/2006/main" count="214" uniqueCount="68">
  <si>
    <t>Retenido</t>
  </si>
  <si>
    <t>Enero</t>
  </si>
  <si>
    <t>Febrero</t>
  </si>
  <si>
    <t>Marzo</t>
  </si>
  <si>
    <t>Abril</t>
  </si>
  <si>
    <t>Mayo</t>
  </si>
  <si>
    <t>Junio</t>
  </si>
  <si>
    <t>Sueldos</t>
  </si>
  <si>
    <t>Neto</t>
  </si>
  <si>
    <t>Total</t>
  </si>
  <si>
    <t>Seguro de Vida</t>
  </si>
  <si>
    <t>Mín. No Imp.</t>
  </si>
  <si>
    <t>Ded. Especial</t>
  </si>
  <si>
    <t>Julio</t>
  </si>
  <si>
    <t>Agosto</t>
  </si>
  <si>
    <t>Septiembre</t>
  </si>
  <si>
    <t>Octubre</t>
  </si>
  <si>
    <t>Noviembre</t>
  </si>
  <si>
    <t>Diciembre</t>
  </si>
  <si>
    <t>Hijos</t>
  </si>
  <si>
    <t>A Retener</t>
  </si>
  <si>
    <t>CM Asistencial</t>
  </si>
  <si>
    <t>Donaciones</t>
  </si>
  <si>
    <t>Anualizado</t>
  </si>
  <si>
    <t>Prorrateo Premios</t>
  </si>
  <si>
    <t>Pers. Doméstico</t>
  </si>
  <si>
    <t>Tope</t>
  </si>
  <si>
    <t>Prorrateo Ingresos</t>
  </si>
  <si>
    <t>Prorrateo Aportes</t>
  </si>
  <si>
    <t>Prorrateo Vacaciones</t>
  </si>
  <si>
    <t>1/12 Pte Sueldo Res. 4003/17</t>
  </si>
  <si>
    <t>Ret. 1/12 Parte</t>
  </si>
  <si>
    <t>H.Extras 50% Hab (y Ad.Noc)</t>
  </si>
  <si>
    <t>H.Extras 50% Inhab (y Ad.Noc)</t>
  </si>
  <si>
    <t>H.Extras 100% Inhab (y Ad.Noc)</t>
  </si>
  <si>
    <t>Horas Extras Gravadas</t>
  </si>
  <si>
    <t>Horas Extras Exentas</t>
  </si>
  <si>
    <t>Aporte Horas Extras Gravadas</t>
  </si>
  <si>
    <t>Aporte Horas Extras Exentas</t>
  </si>
  <si>
    <t>GNSI</t>
  </si>
  <si>
    <t>Impuesto Determinado</t>
  </si>
  <si>
    <t>Porcentaje Aportes Sindicales</t>
  </si>
  <si>
    <t>Aportes Caja</t>
  </si>
  <si>
    <t>Alquiler</t>
  </si>
  <si>
    <t>No Remunerativos</t>
  </si>
  <si>
    <t>Indumentaria y Equipamiento</t>
  </si>
  <si>
    <t>Impuesto Diferido</t>
  </si>
  <si>
    <t>Aportes</t>
  </si>
  <si>
    <t>GNSI Anual</t>
  </si>
  <si>
    <t>GNSI Mes</t>
  </si>
  <si>
    <t>Int. Hipotecario</t>
  </si>
  <si>
    <t>Asist Paramédica</t>
  </si>
  <si>
    <t>Otras Deducciones Siradig</t>
  </si>
  <si>
    <t>Deducción Incrementada L.27.617 1° Parte</t>
  </si>
  <si>
    <t>Deducción Incrementada L.27.617 2° Parte</t>
  </si>
  <si>
    <t>Sueldo</t>
  </si>
  <si>
    <t>Deducción</t>
  </si>
  <si>
    <t>Remuneración Mes</t>
  </si>
  <si>
    <t>Remuneración Promedio</t>
  </si>
  <si>
    <t>Remuneración Mes Base</t>
  </si>
  <si>
    <t>Baja "X" - Alta "A"</t>
  </si>
  <si>
    <t>Total Deducciones</t>
  </si>
  <si>
    <t>SAC</t>
  </si>
  <si>
    <t>SAC Exento</t>
  </si>
  <si>
    <t>Hijos Incapacitados</t>
  </si>
  <si>
    <t>Cónyuge / Unión convivencial</t>
  </si>
  <si>
    <t>Tope Seguridad Social</t>
  </si>
  <si>
    <t>Retenido Otro Empleador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</si>
</sst>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_-&quot;$&quot;\ * #,##0.000000_-;\-&quot;$&quot;\ * #,##0.000000_-;_-&quot;$&quot;\ * &quot;-&quot;??_-;_-@_-"/>
    <numFmt numFmtId="166" formatCode="mmmm"/>
  </numFmts>
  <fonts count="3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4"/>
      <name val="Arial"/>
      <family val="2"/>
    </font>
    <font>
      <sz val="8"/>
      <color theme="3" tint="-0.249977111117893"/>
      <name val="Arial"/>
      <family val="2"/>
    </font>
    <font>
      <i/>
      <sz val="8"/>
      <color theme="1"/>
      <name val="Arial"/>
      <family val="2"/>
    </font>
    <font>
      <i/>
      <sz val="8"/>
      <color theme="9" tint="-0.249977111117893"/>
      <name val="Arial"/>
      <family val="2"/>
    </font>
    <font>
      <sz val="8"/>
      <color theme="9" tint="-0.249977111117893"/>
      <name val="Arial"/>
      <family val="2"/>
    </font>
    <font>
      <i/>
      <sz val="8"/>
      <color theme="0" tint="-0.34998626667073579"/>
      <name val="Arial Narrow"/>
      <family val="2"/>
    </font>
    <font>
      <sz val="8"/>
      <color theme="1" tint="0.34998626667073579"/>
      <name val="Arial"/>
      <family val="2"/>
    </font>
    <font>
      <sz val="8"/>
      <color rgb="FF002060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0" tint="-0.499984740745262"/>
      <name val="Arial Narrow"/>
      <family val="2"/>
    </font>
    <font>
      <i/>
      <sz val="8"/>
      <color theme="0" tint="-0.499984740745262"/>
      <name val="Arial"/>
      <family val="2"/>
    </font>
    <font>
      <sz val="8"/>
      <color theme="8" tint="-0.499984740745262"/>
      <name val="Arial"/>
      <family val="2"/>
    </font>
    <font>
      <i/>
      <sz val="8"/>
      <color theme="8" tint="-0.499984740745262"/>
      <name val="Arial"/>
      <family val="2"/>
    </font>
    <font>
      <sz val="8"/>
      <color rgb="FF0070C0"/>
      <name val="Arial"/>
      <family val="2"/>
    </font>
    <font>
      <i/>
      <sz val="8"/>
      <color rgb="FF0070C0"/>
      <name val="Arial Narrow"/>
      <family val="2"/>
    </font>
    <font>
      <sz val="8"/>
      <color rgb="FF00B0F0"/>
      <name val="Arial"/>
      <family val="2"/>
    </font>
    <font>
      <sz val="8"/>
      <color theme="4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6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</cellStyleXfs>
  <cellXfs count="110">
    <xf numFmtId="0" fontId="0" fillId="0" borderId="0" xfId="0"/>
    <xf numFmtId="9" fontId="15" fillId="0" borderId="1" xfId="0" applyNumberFormat="1" applyFont="1" applyFill="1" applyBorder="1" applyAlignment="1" applyProtection="1">
      <alignment horizontal="center" vertical="center"/>
    </xf>
    <xf numFmtId="164" fontId="20" fillId="0" borderId="0" xfId="1" applyFont="1" applyFill="1" applyAlignment="1">
      <alignment horizontal="center"/>
    </xf>
    <xf numFmtId="164" fontId="20" fillId="0" borderId="0" xfId="0" applyNumberFormat="1" applyFont="1"/>
    <xf numFmtId="164" fontId="20" fillId="0" borderId="0" xfId="1" applyFont="1"/>
    <xf numFmtId="0" fontId="20" fillId="0" borderId="0" xfId="0" applyFont="1"/>
    <xf numFmtId="0" fontId="21" fillId="0" borderId="0" xfId="0" applyFont="1" applyAlignment="1">
      <alignment horizontal="center"/>
    </xf>
    <xf numFmtId="164" fontId="21" fillId="2" borderId="0" xfId="1" applyFont="1" applyFill="1" applyAlignment="1">
      <alignment horizontal="center"/>
    </xf>
    <xf numFmtId="164" fontId="20" fillId="2" borderId="0" xfId="1" applyFont="1" applyFill="1"/>
    <xf numFmtId="164" fontId="21" fillId="0" borderId="0" xfId="1" applyFont="1"/>
    <xf numFmtId="164" fontId="21" fillId="2" borderId="0" xfId="1" applyFont="1" applyFill="1"/>
    <xf numFmtId="164" fontId="20" fillId="3" borderId="0" xfId="1" applyFont="1" applyFill="1"/>
    <xf numFmtId="164" fontId="16" fillId="0" borderId="0" xfId="1" applyFont="1"/>
    <xf numFmtId="0" fontId="16" fillId="0" borderId="0" xfId="0" applyFont="1"/>
    <xf numFmtId="0" fontId="17" fillId="0" borderId="0" xfId="0" applyFont="1" applyAlignment="1">
      <alignment horizontal="center"/>
    </xf>
    <xf numFmtId="164" fontId="20" fillId="4" borderId="0" xfId="1" applyFont="1" applyFill="1"/>
    <xf numFmtId="164" fontId="20" fillId="4" borderId="0" xfId="1" applyFont="1" applyFill="1" applyAlignment="1">
      <alignment horizontal="center"/>
    </xf>
    <xf numFmtId="164" fontId="16" fillId="4" borderId="0" xfId="1" applyFont="1" applyFill="1"/>
    <xf numFmtId="164" fontId="24" fillId="0" borderId="0" xfId="1" applyFont="1"/>
    <xf numFmtId="0" fontId="24" fillId="0" borderId="0" xfId="0" applyFont="1"/>
    <xf numFmtId="164" fontId="24" fillId="0" borderId="0" xfId="1" applyFont="1" applyFill="1" applyAlignment="1">
      <alignment horizontal="center"/>
    </xf>
    <xf numFmtId="0" fontId="18" fillId="0" borderId="0" xfId="0" applyFont="1"/>
    <xf numFmtId="0" fontId="20" fillId="4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5" fillId="0" borderId="0" xfId="1" applyFont="1"/>
    <xf numFmtId="164" fontId="25" fillId="0" borderId="0" xfId="0" applyNumberFormat="1" applyFont="1"/>
    <xf numFmtId="0" fontId="25" fillId="0" borderId="0" xfId="0" applyFont="1"/>
    <xf numFmtId="164" fontId="26" fillId="4" borderId="0" xfId="1" applyFont="1" applyFill="1"/>
    <xf numFmtId="164" fontId="26" fillId="4" borderId="0" xfId="1" applyFont="1" applyFill="1" applyAlignment="1">
      <alignment horizontal="center"/>
    </xf>
    <xf numFmtId="0" fontId="26" fillId="0" borderId="0" xfId="0" applyFont="1"/>
    <xf numFmtId="164" fontId="20" fillId="0" borderId="0" xfId="1" applyFont="1" applyFill="1"/>
    <xf numFmtId="164" fontId="27" fillId="0" borderId="0" xfId="1" applyFont="1"/>
    <xf numFmtId="164" fontId="28" fillId="0" borderId="0" xfId="1" applyFont="1" applyFill="1"/>
    <xf numFmtId="164" fontId="28" fillId="0" borderId="0" xfId="0" applyNumberFormat="1" applyFont="1"/>
    <xf numFmtId="0" fontId="28" fillId="0" borderId="0" xfId="0" applyFont="1"/>
    <xf numFmtId="164" fontId="14" fillId="0" borderId="0" xfId="1" applyFont="1"/>
    <xf numFmtId="164" fontId="14" fillId="0" borderId="0" xfId="1" applyFont="1" applyFill="1"/>
    <xf numFmtId="164" fontId="22" fillId="5" borderId="0" xfId="1" applyFont="1" applyFill="1"/>
    <xf numFmtId="164" fontId="23" fillId="5" borderId="0" xfId="1" applyFont="1" applyFill="1"/>
    <xf numFmtId="164" fontId="13" fillId="0" borderId="0" xfId="1" applyFont="1"/>
    <xf numFmtId="164" fontId="12" fillId="0" borderId="0" xfId="1" applyFont="1"/>
    <xf numFmtId="164" fontId="11" fillId="0" borderId="0" xfId="1" applyFont="1" applyFill="1"/>
    <xf numFmtId="164" fontId="11" fillId="4" borderId="0" xfId="1" applyFont="1" applyFill="1"/>
    <xf numFmtId="0" fontId="11" fillId="0" borderId="0" xfId="0" applyFont="1"/>
    <xf numFmtId="164" fontId="29" fillId="0" borderId="0" xfId="1" applyFont="1" applyFill="1"/>
    <xf numFmtId="0" fontId="29" fillId="0" borderId="0" xfId="0" applyFont="1" applyFill="1"/>
    <xf numFmtId="164" fontId="11" fillId="0" borderId="0" xfId="1" applyFont="1"/>
    <xf numFmtId="0" fontId="30" fillId="0" borderId="0" xfId="0" applyFont="1" applyAlignment="1">
      <alignment horizontal="center"/>
    </xf>
    <xf numFmtId="9" fontId="24" fillId="0" borderId="0" xfId="2" applyFont="1" applyAlignment="1">
      <alignment horizontal="center"/>
    </xf>
    <xf numFmtId="164" fontId="10" fillId="0" borderId="0" xfId="1" applyFont="1" applyFill="1"/>
    <xf numFmtId="9" fontId="10" fillId="4" borderId="0" xfId="0" applyNumberFormat="1" applyFont="1" applyFill="1" applyAlignment="1">
      <alignment horizontal="center"/>
    </xf>
    <xf numFmtId="164" fontId="31" fillId="0" borderId="0" xfId="1" applyFont="1"/>
    <xf numFmtId="164" fontId="31" fillId="0" borderId="0" xfId="0" applyNumberFormat="1" applyFont="1"/>
    <xf numFmtId="0" fontId="31" fillId="0" borderId="0" xfId="0" applyFont="1"/>
    <xf numFmtId="164" fontId="9" fillId="4" borderId="0" xfId="1" applyFont="1" applyFill="1"/>
    <xf numFmtId="0" fontId="9" fillId="0" borderId="0" xfId="0" applyFont="1"/>
    <xf numFmtId="4" fontId="20" fillId="0" borderId="0" xfId="0" applyNumberFormat="1" applyFont="1"/>
    <xf numFmtId="164" fontId="32" fillId="0" borderId="0" xfId="1" applyFont="1"/>
    <xf numFmtId="44" fontId="20" fillId="0" borderId="0" xfId="0" applyNumberFormat="1" applyFont="1"/>
    <xf numFmtId="44" fontId="24" fillId="0" borderId="0" xfId="0" applyNumberFormat="1" applyFont="1"/>
    <xf numFmtId="10" fontId="20" fillId="0" borderId="0" xfId="2" applyNumberFormat="1" applyFont="1"/>
    <xf numFmtId="164" fontId="32" fillId="0" borderId="0" xfId="0" applyNumberFormat="1" applyFont="1"/>
    <xf numFmtId="10" fontId="32" fillId="0" borderId="0" xfId="2" applyNumberFormat="1" applyFont="1"/>
    <xf numFmtId="164" fontId="27" fillId="0" borderId="0" xfId="1" applyFont="1" applyAlignment="1">
      <alignment wrapText="1"/>
    </xf>
    <xf numFmtId="164" fontId="8" fillId="4" borderId="0" xfId="1" applyFont="1" applyFill="1"/>
    <xf numFmtId="164" fontId="15" fillId="0" borderId="1" xfId="1" applyFont="1" applyFill="1" applyBorder="1" applyAlignment="1" applyProtection="1">
      <alignment horizontal="center" vertical="center"/>
    </xf>
    <xf numFmtId="164" fontId="15" fillId="6" borderId="1" xfId="1" applyFont="1" applyFill="1" applyBorder="1" applyAlignment="1" applyProtection="1">
      <alignment horizontal="center" vertical="center"/>
    </xf>
    <xf numFmtId="164" fontId="15" fillId="0" borderId="2" xfId="1" applyFont="1" applyFill="1" applyBorder="1" applyAlignment="1" applyProtection="1">
      <alignment horizontal="center" vertical="center"/>
    </xf>
    <xf numFmtId="164" fontId="7" fillId="0" borderId="0" xfId="1" applyFont="1"/>
    <xf numFmtId="164" fontId="33" fillId="0" borderId="0" xfId="1" applyFont="1"/>
    <xf numFmtId="164" fontId="33" fillId="2" borderId="0" xfId="1" applyFont="1" applyFill="1"/>
    <xf numFmtId="0" fontId="33" fillId="0" borderId="0" xfId="0" applyFont="1"/>
    <xf numFmtId="164" fontId="34" fillId="0" borderId="0" xfId="0" applyNumberFormat="1" applyFont="1"/>
    <xf numFmtId="165" fontId="9" fillId="0" borderId="0" xfId="0" applyNumberFormat="1" applyFont="1"/>
    <xf numFmtId="166" fontId="21" fillId="0" borderId="0" xfId="1" applyNumberFormat="1" applyFont="1" applyAlignment="1">
      <alignment horizontal="center"/>
    </xf>
    <xf numFmtId="44" fontId="16" fillId="0" borderId="0" xfId="0" applyNumberFormat="1" applyFont="1"/>
    <xf numFmtId="164" fontId="6" fillId="0" borderId="0" xfId="1" applyFont="1"/>
    <xf numFmtId="164" fontId="5" fillId="0" borderId="0" xfId="1" applyFont="1"/>
    <xf numFmtId="44" fontId="21" fillId="0" borderId="0" xfId="3" applyFont="1" applyFill="1" applyBorder="1" applyAlignment="1">
      <alignment horizontal="center" vertical="top"/>
    </xf>
    <xf numFmtId="0" fontId="4" fillId="0" borderId="0" xfId="4" applyFont="1"/>
    <xf numFmtId="44" fontId="4" fillId="6" borderId="0" xfId="3" applyFont="1" applyFill="1" applyBorder="1" applyAlignment="1">
      <alignment horizontal="left" vertical="top"/>
    </xf>
    <xf numFmtId="44" fontId="4" fillId="0" borderId="0" xfId="3" applyFont="1" applyFill="1" applyBorder="1" applyAlignment="1">
      <alignment horizontal="left" vertical="top"/>
    </xf>
    <xf numFmtId="44" fontId="4" fillId="8" borderId="0" xfId="3" applyFont="1" applyFill="1" applyBorder="1" applyAlignment="1">
      <alignment horizontal="left" vertical="top"/>
    </xf>
    <xf numFmtId="44" fontId="4" fillId="9" borderId="0" xfId="3" applyFont="1" applyFill="1" applyBorder="1" applyAlignment="1">
      <alignment horizontal="left" vertical="top"/>
    </xf>
    <xf numFmtId="164" fontId="35" fillId="0" borderId="0" xfId="5" applyFont="1"/>
    <xf numFmtId="164" fontId="36" fillId="0" borderId="0" xfId="5" applyFont="1"/>
    <xf numFmtId="164" fontId="35" fillId="6" borderId="0" xfId="5" applyFont="1" applyFill="1"/>
    <xf numFmtId="164" fontId="4" fillId="0" borderId="0" xfId="1" applyFont="1"/>
    <xf numFmtId="164" fontId="37" fillId="0" borderId="0" xfId="1" applyFont="1"/>
    <xf numFmtId="0" fontId="25" fillId="0" borderId="0" xfId="4" applyFont="1"/>
    <xf numFmtId="164" fontId="33" fillId="7" borderId="0" xfId="1" applyFont="1" applyFill="1"/>
    <xf numFmtId="164" fontId="33" fillId="0" borderId="0" xfId="1" applyFont="1" applyFill="1"/>
    <xf numFmtId="164" fontId="29" fillId="6" borderId="0" xfId="1" applyFont="1" applyFill="1"/>
    <xf numFmtId="164" fontId="33" fillId="6" borderId="0" xfId="1" applyFont="1" applyFill="1"/>
    <xf numFmtId="164" fontId="3" fillId="0" borderId="0" xfId="1" applyFont="1"/>
    <xf numFmtId="0" fontId="32" fillId="0" borderId="0" xfId="0" applyFont="1"/>
    <xf numFmtId="164" fontId="3" fillId="0" borderId="0" xfId="1" applyFont="1" applyFill="1"/>
    <xf numFmtId="44" fontId="2" fillId="0" borderId="0" xfId="3" applyFont="1" applyFill="1" applyBorder="1" applyAlignment="1">
      <alignment horizontal="left" vertical="top"/>
    </xf>
    <xf numFmtId="164" fontId="15" fillId="4" borderId="1" xfId="1" applyFont="1" applyFill="1" applyBorder="1" applyAlignment="1" applyProtection="1">
      <alignment horizontal="center" vertical="center"/>
    </xf>
    <xf numFmtId="0" fontId="2" fillId="0" borderId="0" xfId="4" applyFont="1"/>
    <xf numFmtId="164" fontId="2" fillId="4" borderId="0" xfId="1" applyFont="1" applyFill="1"/>
    <xf numFmtId="164" fontId="2" fillId="0" borderId="0" xfId="1" applyFont="1"/>
    <xf numFmtId="44" fontId="2" fillId="4" borderId="0" xfId="0" applyNumberFormat="1" applyFont="1" applyFill="1"/>
    <xf numFmtId="0" fontId="2" fillId="0" borderId="0" xfId="0" applyFont="1"/>
    <xf numFmtId="164" fontId="2" fillId="0" borderId="0" xfId="1" applyFont="1" applyFill="1"/>
    <xf numFmtId="0" fontId="2" fillId="4" borderId="0" xfId="0" applyFont="1" applyFill="1" applyAlignment="1">
      <alignment horizontal="center"/>
    </xf>
    <xf numFmtId="164" fontId="1" fillId="0" borderId="0" xfId="1" applyFont="1" applyAlignment="1"/>
    <xf numFmtId="164" fontId="38" fillId="0" borderId="0" xfId="1" applyFont="1"/>
    <xf numFmtId="3" fontId="1" fillId="0" borderId="0" xfId="0" applyNumberFormat="1" applyFont="1"/>
    <xf numFmtId="164" fontId="1" fillId="0" borderId="0" xfId="1" applyFont="1"/>
  </cellXfs>
  <cellStyles count="6">
    <cellStyle name="Moneda" xfId="1" builtinId="4"/>
    <cellStyle name="Moneda 2" xfId="5"/>
    <cellStyle name="Moneda 3" xfId="3"/>
    <cellStyle name="Normal" xfId="0" builtinId="0"/>
    <cellStyle name="Normal 2" xfId="4"/>
    <cellStyle name="Porcentaje" xfId="2" builtinId="5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zoomScaleNormal="100" workbookViewId="0">
      <pane xSplit="1" ySplit="2" topLeftCell="B3" activePane="bottomRight" state="frozen"/>
      <selection activeCell="J4" sqref="J4"/>
      <selection pane="topRight" activeCell="J4" sqref="J4"/>
      <selection pane="bottomLeft" activeCell="J4" sqref="J4"/>
      <selection pane="bottomRight" activeCell="A31" sqref="A31"/>
    </sheetView>
  </sheetViews>
  <sheetFormatPr baseColWidth="10" defaultColWidth="11.42578125" defaultRowHeight="11.25" x14ac:dyDescent="0.2"/>
  <cols>
    <col min="1" max="1" width="31.42578125" style="4" customWidth="1"/>
    <col min="2" max="2" width="11.42578125" style="5" bestFit="1" customWidth="1"/>
    <col min="3" max="3" width="12.42578125" style="5" customWidth="1"/>
    <col min="4" max="5" width="11.140625" style="5" bestFit="1" customWidth="1"/>
    <col min="6" max="6" width="14.85546875" style="5" customWidth="1"/>
    <col min="7" max="7" width="11.42578125" style="5" bestFit="1" customWidth="1"/>
    <col min="8" max="8" width="11.42578125" style="2" bestFit="1" customWidth="1"/>
    <col min="9" max="9" width="11.42578125" style="5" bestFit="1" customWidth="1"/>
    <col min="10" max="12" width="11.42578125" style="13" bestFit="1" customWidth="1"/>
    <col min="13" max="13" width="12.7109375" style="13" bestFit="1" customWidth="1"/>
    <col min="14" max="14" width="12.140625" style="5" bestFit="1" customWidth="1"/>
    <col min="15" max="16384" width="11.42578125" style="5"/>
  </cols>
  <sheetData>
    <row r="1" spans="1:19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O1" s="4"/>
      <c r="P1" s="58"/>
      <c r="Q1" s="58"/>
      <c r="S1" s="58"/>
    </row>
    <row r="2" spans="1:19" x14ac:dyDescent="0.2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13</v>
      </c>
      <c r="I2" s="6" t="s">
        <v>14</v>
      </c>
      <c r="J2" s="14" t="s">
        <v>15</v>
      </c>
      <c r="K2" s="14" t="s">
        <v>16</v>
      </c>
      <c r="L2" s="14" t="s">
        <v>17</v>
      </c>
      <c r="M2" s="14" t="s">
        <v>18</v>
      </c>
      <c r="N2" s="7" t="s">
        <v>23</v>
      </c>
    </row>
    <row r="3" spans="1:19" x14ac:dyDescent="0.2">
      <c r="A3" s="4" t="s">
        <v>7</v>
      </c>
      <c r="B3" s="100">
        <v>256339</v>
      </c>
      <c r="C3" s="100">
        <v>247296</v>
      </c>
      <c r="D3" s="100">
        <v>257800</v>
      </c>
      <c r="E3" s="100">
        <v>252640</v>
      </c>
      <c r="F3" s="100">
        <v>233067</v>
      </c>
      <c r="G3" s="100">
        <v>256450</v>
      </c>
      <c r="H3" s="64">
        <v>342484</v>
      </c>
      <c r="I3" s="64">
        <v>309089</v>
      </c>
      <c r="J3" s="64">
        <v>318641</v>
      </c>
      <c r="K3" s="64">
        <v>348299</v>
      </c>
      <c r="L3" s="64">
        <v>291662</v>
      </c>
      <c r="M3" s="64">
        <v>333278</v>
      </c>
      <c r="N3" s="8">
        <f>SUM(B3:M3)</f>
        <v>3447045</v>
      </c>
      <c r="O3" s="3"/>
      <c r="P3" s="3"/>
      <c r="Q3" s="58"/>
    </row>
    <row r="4" spans="1:19" x14ac:dyDescent="0.2">
      <c r="A4" s="77" t="s">
        <v>44</v>
      </c>
      <c r="B4" s="100">
        <v>0</v>
      </c>
      <c r="C4" s="100">
        <v>0</v>
      </c>
      <c r="D4" s="64">
        <v>0</v>
      </c>
      <c r="E4" s="64">
        <v>0</v>
      </c>
      <c r="F4" s="64">
        <v>0</v>
      </c>
      <c r="G4" s="64">
        <v>0</v>
      </c>
      <c r="H4" s="64">
        <v>0</v>
      </c>
      <c r="I4" s="64">
        <v>0</v>
      </c>
      <c r="J4" s="64">
        <v>0</v>
      </c>
      <c r="K4" s="64">
        <v>0</v>
      </c>
      <c r="L4" s="64">
        <v>0</v>
      </c>
      <c r="M4" s="64">
        <v>0</v>
      </c>
      <c r="N4" s="8">
        <f t="shared" ref="N4:N39" si="0">SUM(B4:M4)</f>
        <v>0</v>
      </c>
      <c r="P4" s="60"/>
    </row>
    <row r="5" spans="1:19" x14ac:dyDescent="0.2">
      <c r="A5" s="35" t="s">
        <v>30</v>
      </c>
      <c r="B5" s="4">
        <f>B3/12</f>
        <v>21361.583333333332</v>
      </c>
      <c r="C5" s="4">
        <f t="shared" ref="C5:F5" si="1">C3/12</f>
        <v>20608</v>
      </c>
      <c r="D5" s="4">
        <f t="shared" si="1"/>
        <v>21483.333333333332</v>
      </c>
      <c r="E5" s="4">
        <f t="shared" si="1"/>
        <v>21053.333333333332</v>
      </c>
      <c r="F5" s="4">
        <f t="shared" si="1"/>
        <v>19422.25</v>
      </c>
      <c r="G5" s="107">
        <f>-SUM(B5:F5)</f>
        <v>-103928.49999999999</v>
      </c>
      <c r="H5" s="4">
        <f t="shared" ref="H5:L6" si="2">H3/12</f>
        <v>28540.333333333332</v>
      </c>
      <c r="I5" s="4">
        <f t="shared" si="2"/>
        <v>25757.416666666668</v>
      </c>
      <c r="J5" s="4">
        <f t="shared" si="2"/>
        <v>26553.416666666668</v>
      </c>
      <c r="K5" s="4">
        <f t="shared" si="2"/>
        <v>29024.916666666668</v>
      </c>
      <c r="L5" s="4">
        <f t="shared" si="2"/>
        <v>24305.166666666668</v>
      </c>
      <c r="M5" s="107">
        <f>-SUM(H5:L5)</f>
        <v>-134181.25</v>
      </c>
      <c r="N5" s="8">
        <f t="shared" si="0"/>
        <v>0</v>
      </c>
    </row>
    <row r="6" spans="1:19" x14ac:dyDescent="0.2">
      <c r="A6" s="94" t="s">
        <v>62</v>
      </c>
      <c r="B6" s="54"/>
      <c r="C6" s="54"/>
      <c r="D6" s="54"/>
      <c r="E6" s="54"/>
      <c r="F6" s="54"/>
      <c r="G6" s="92">
        <f>MAX(B3:G3)/2</f>
        <v>128900</v>
      </c>
      <c r="H6" s="54">
        <f t="shared" si="2"/>
        <v>0</v>
      </c>
      <c r="I6" s="54">
        <f t="shared" si="2"/>
        <v>0</v>
      </c>
      <c r="J6" s="54">
        <f t="shared" si="2"/>
        <v>0</v>
      </c>
      <c r="K6" s="54">
        <f t="shared" si="2"/>
        <v>0</v>
      </c>
      <c r="L6" s="54">
        <f t="shared" si="2"/>
        <v>0</v>
      </c>
      <c r="M6" s="92">
        <f>MAX(H3:M3)/2</f>
        <v>174149.5</v>
      </c>
      <c r="N6" s="8">
        <f t="shared" si="0"/>
        <v>303049.5</v>
      </c>
    </row>
    <row r="7" spans="1:19" s="71" customFormat="1" x14ac:dyDescent="0.2">
      <c r="A7" s="69" t="s">
        <v>63</v>
      </c>
      <c r="B7" s="90"/>
      <c r="C7" s="90"/>
      <c r="D7" s="90"/>
      <c r="E7" s="90"/>
      <c r="F7" s="90"/>
      <c r="G7" s="93">
        <f>IF(G74&lt;=Tablas!$J$3,-G6,0)</f>
        <v>-128900</v>
      </c>
      <c r="H7" s="90"/>
      <c r="I7" s="90"/>
      <c r="J7" s="90"/>
      <c r="K7" s="90"/>
      <c r="L7" s="90"/>
      <c r="M7" s="93">
        <f>IF(M74&lt;=Tablas!$J$3,-M6,0)</f>
        <v>0</v>
      </c>
      <c r="N7" s="70">
        <f t="shared" si="0"/>
        <v>-128900</v>
      </c>
      <c r="P7" s="72"/>
      <c r="Q7" s="72"/>
    </row>
    <row r="8" spans="1:19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9" x14ac:dyDescent="0.2">
      <c r="A9" s="77" t="s">
        <v>47</v>
      </c>
      <c r="B9" s="104">
        <f>MIN(B$3,B$78)*(0.17+$B$71)</f>
        <v>43577.630000000005</v>
      </c>
      <c r="C9" s="104">
        <f t="shared" ref="C9:M9" si="3">MIN(C$3,C$78)*(0.17+$B$71)</f>
        <v>42040.32</v>
      </c>
      <c r="D9" s="104">
        <f t="shared" si="3"/>
        <v>43826</v>
      </c>
      <c r="E9" s="104">
        <f t="shared" si="3"/>
        <v>42948.800000000003</v>
      </c>
      <c r="F9" s="104">
        <f t="shared" si="3"/>
        <v>39621.39</v>
      </c>
      <c r="G9" s="104">
        <f t="shared" si="3"/>
        <v>43596.5</v>
      </c>
      <c r="H9" s="104">
        <f t="shared" si="3"/>
        <v>58222.280000000006</v>
      </c>
      <c r="I9" s="104">
        <f t="shared" si="3"/>
        <v>52545.130000000005</v>
      </c>
      <c r="J9" s="104">
        <f t="shared" si="3"/>
        <v>54168.97</v>
      </c>
      <c r="K9" s="104">
        <f t="shared" si="3"/>
        <v>59210.83</v>
      </c>
      <c r="L9" s="104">
        <f t="shared" si="3"/>
        <v>49582.54</v>
      </c>
      <c r="M9" s="104">
        <f t="shared" si="3"/>
        <v>56657.26</v>
      </c>
      <c r="N9" s="8">
        <f t="shared" si="0"/>
        <v>585997.65</v>
      </c>
    </row>
    <row r="10" spans="1:19" x14ac:dyDescent="0.2">
      <c r="A10" s="40" t="s">
        <v>31</v>
      </c>
      <c r="B10" s="104">
        <f>B9/12</f>
        <v>3631.4691666666672</v>
      </c>
      <c r="C10" s="104">
        <f t="shared" ref="C10:M10" si="4">C9/12</f>
        <v>3503.36</v>
      </c>
      <c r="D10" s="104">
        <f t="shared" si="4"/>
        <v>3652.1666666666665</v>
      </c>
      <c r="E10" s="104">
        <f t="shared" si="4"/>
        <v>3579.0666666666671</v>
      </c>
      <c r="F10" s="104">
        <f t="shared" si="4"/>
        <v>3301.7824999999998</v>
      </c>
      <c r="G10" s="104">
        <f t="shared" si="4"/>
        <v>3633.0416666666665</v>
      </c>
      <c r="H10" s="104">
        <f t="shared" si="4"/>
        <v>4851.8566666666675</v>
      </c>
      <c r="I10" s="104">
        <f t="shared" si="4"/>
        <v>4378.7608333333337</v>
      </c>
      <c r="J10" s="104">
        <f t="shared" si="4"/>
        <v>4514.0808333333334</v>
      </c>
      <c r="K10" s="104">
        <f t="shared" si="4"/>
        <v>4934.2358333333332</v>
      </c>
      <c r="L10" s="104">
        <f t="shared" si="4"/>
        <v>4131.8783333333331</v>
      </c>
      <c r="M10" s="104">
        <f t="shared" si="4"/>
        <v>4721.4383333333335</v>
      </c>
      <c r="N10" s="8">
        <f t="shared" si="0"/>
        <v>48833.137500000004</v>
      </c>
    </row>
    <row r="11" spans="1:19" x14ac:dyDescent="0.2">
      <c r="A11" s="9" t="s">
        <v>8</v>
      </c>
      <c r="B11" s="9">
        <f>SUM(B3:B6)-SUM(B9:B10)</f>
        <v>230491.48416666663</v>
      </c>
      <c r="C11" s="9">
        <f t="shared" ref="C11:M11" si="5">SUM(C3:C6)-SUM(C9:C10)</f>
        <v>222360.32000000001</v>
      </c>
      <c r="D11" s="9">
        <f t="shared" si="5"/>
        <v>231805.16666666666</v>
      </c>
      <c r="E11" s="9">
        <f t="shared" si="5"/>
        <v>227165.46666666665</v>
      </c>
      <c r="F11" s="9">
        <f t="shared" si="5"/>
        <v>209566.07750000001</v>
      </c>
      <c r="G11" s="9">
        <f t="shared" si="5"/>
        <v>234191.95833333334</v>
      </c>
      <c r="H11" s="9">
        <f t="shared" si="5"/>
        <v>307950.19666666666</v>
      </c>
      <c r="I11" s="9">
        <f t="shared" si="5"/>
        <v>277922.52583333338</v>
      </c>
      <c r="J11" s="9">
        <f t="shared" si="5"/>
        <v>286511.36583333334</v>
      </c>
      <c r="K11" s="9">
        <f t="shared" si="5"/>
        <v>313178.85083333333</v>
      </c>
      <c r="L11" s="9">
        <f t="shared" si="5"/>
        <v>262252.74833333335</v>
      </c>
      <c r="M11" s="9">
        <f t="shared" si="5"/>
        <v>311867.55166666664</v>
      </c>
      <c r="N11" s="10">
        <f t="shared" si="0"/>
        <v>3115263.7124999999</v>
      </c>
    </row>
    <row r="12" spans="1:19" x14ac:dyDescent="0.2">
      <c r="B12" s="9"/>
      <c r="C12" s="58"/>
      <c r="D12" s="58"/>
      <c r="H12" s="9"/>
    </row>
    <row r="13" spans="1:19" x14ac:dyDescent="0.2">
      <c r="A13" s="35" t="s">
        <v>27</v>
      </c>
      <c r="B13" s="4">
        <f>IF(COUNTIF(C$62:$M$62,"A")&gt;0,0,SUM($B63:B64)/IF(B$62="x",1,(COUNTA(B$2:$M$2))))</f>
        <v>1666.6666666666667</v>
      </c>
      <c r="C13" s="4">
        <f>IF(COUNTIF(D$62:$M$62,"A")&gt;0,0,(SUM($B63:C64)-SUM($B13:B13))/IF(C$62="x",1,COUNTA(C$2:$M$2)))</f>
        <v>1666.6666666666665</v>
      </c>
      <c r="D13" s="4">
        <f>IF(COUNTIF(E$62:$M$62,"A")&gt;0,0,(SUM($B63:D64)-SUM($B13:C13))/IF(D$62="x",1,COUNTA(D$2:$M$2)))</f>
        <v>1666.6666666666667</v>
      </c>
      <c r="E13" s="4">
        <f>IF(COUNTIF(F$62:$M$62,"A")&gt;0,0,(SUM($B63:E64)-SUM($B13:D13))/IF(E$62="x",1,COUNTA(E$2:$M$2)))</f>
        <v>23888.888888888891</v>
      </c>
      <c r="F13" s="4">
        <f>IF(COUNTIF(G$62:$M$62,"A")&gt;0,0,(SUM($B63:F64)-SUM($B13:E13))/IF(F$62="x",1,COUNTA(F$2:$M$2)))</f>
        <v>23888.888888888891</v>
      </c>
      <c r="G13" s="4">
        <f>IF(COUNTIF(H$62:$M$62,"A")&gt;0,0,(SUM($B63:G64)-SUM($B13:F13))/IF(G$62="x",1,COUNTA(G$2:$M$2)))</f>
        <v>23888.888888888887</v>
      </c>
      <c r="H13" s="4">
        <f>IF(COUNTIF(I$62:$M$62,"A")&gt;0,0,(SUM($B63:H64)-SUM($B13:G13))/IF(H$62="x",1,COUNTA(H$2:$M$2)))</f>
        <v>23888.888888888887</v>
      </c>
      <c r="I13" s="4">
        <f>IF(COUNTIF(J$62:$M$62,"A")&gt;0,0,(SUM($B63:I64)-SUM($B13:H13))/IF(I$62="x",1,COUNTA(I$2:$M$2)))</f>
        <v>23888.888888888887</v>
      </c>
      <c r="J13" s="4">
        <f>IF(COUNTIF(K$62:$M$62,"A")&gt;0,0,(SUM($B63:J64)-SUM($B13:I13))/IF(J$62="x",1,COUNTA(J$2:$M$2)))</f>
        <v>23888.888888888887</v>
      </c>
      <c r="K13" s="4">
        <f>IF(COUNTIF(L$62:$M$62,"A")&gt;0,0,(SUM($B63:K64)-SUM($B13:J13))/IF(K$62="x",1,COUNTA(K$2:$M$2)))</f>
        <v>23888.888888888887</v>
      </c>
      <c r="L13" s="4">
        <f>IF(COUNTIF(M$62:$M$62,"A")&gt;0,0,(SUM($B63:L64)-SUM($B13:K13))/IF(L$62="x",1,COUNTA(L$2:$M$2)))</f>
        <v>23888.888888888891</v>
      </c>
      <c r="M13" s="4">
        <f>IF(COUNTIF($M$62:N$62,"A")&gt;0,0,(SUM($B63:M64)-SUM($B13:L13))/IF(M$62="x",1,COUNTA(M$2:$M$2)))</f>
        <v>23888.888888888876</v>
      </c>
      <c r="N13" s="8">
        <f t="shared" si="0"/>
        <v>220000</v>
      </c>
    </row>
    <row r="14" spans="1:19" x14ac:dyDescent="0.2">
      <c r="A14" s="35" t="s">
        <v>28</v>
      </c>
      <c r="B14" s="4">
        <f>IF(COUNTIF(C$62:$M$62,"A")&gt;0,0,SUM($B65:B66)/IF(B$62="x",1,(COUNTA(B$2:$M$2))))</f>
        <v>283.33333333333331</v>
      </c>
      <c r="C14" s="4">
        <f>IF(COUNTIF(D$62:$M$62,"A")&gt;0,0,(SUM($B65:C66)-SUM($B14:B14))/IF(C$62="x",1,COUNTA(C$2:$M$2)))</f>
        <v>283.33333333333331</v>
      </c>
      <c r="D14" s="4">
        <f>IF(COUNTIF(E$62:$M$62,"A")&gt;0,0,(SUM($B65:D66)-SUM($B14:C14))/IF(D$62="x",1,COUNTA(D$2:$M$2)))</f>
        <v>283.33333333333337</v>
      </c>
      <c r="E14" s="4">
        <f>IF(COUNTIF(F$62:$M$62,"A")&gt;0,0,(SUM($B65:E66)-SUM($B14:D14))/IF(E$62="x",1,COUNTA(E$2:$M$2)))</f>
        <v>2257.7318444444441</v>
      </c>
      <c r="F14" s="4">
        <f>IF(COUNTIF(G$62:$M$62,"A")&gt;0,0,(SUM($B65:F66)-SUM($B14:E14))/IF(F$62="x",1,COUNTA(F$2:$M$2)))</f>
        <v>2257.7318444444441</v>
      </c>
      <c r="G14" s="4">
        <f>IF(COUNTIF(H$62:$M$62,"A")&gt;0,0,(SUM($B65:G66)-SUM($B14:F14))/IF(G$62="x",1,COUNTA(G$2:$M$2)))</f>
        <v>2257.7318444444436</v>
      </c>
      <c r="H14" s="4">
        <f>IF(COUNTIF(I$62:$M$62,"A")&gt;0,0,(SUM($B65:H66)-SUM($B14:G14))/IF(H$62="x",1,COUNTA(H$2:$M$2)))</f>
        <v>2257.7318444444441</v>
      </c>
      <c r="I14" s="4">
        <f>IF(COUNTIF(J$62:$M$62,"A")&gt;0,0,(SUM($B65:I66)-SUM($B14:H14))/IF(I$62="x",1,COUNTA(I$2:$M$2)))</f>
        <v>2257.7318444444436</v>
      </c>
      <c r="J14" s="4">
        <f>IF(COUNTIF(K$62:$M$62,"A")&gt;0,0,(SUM($B65:J66)-SUM($B14:I14))/IF(J$62="x",1,COUNTA(J$2:$M$2)))</f>
        <v>2257.7318444444436</v>
      </c>
      <c r="K14" s="4">
        <f>IF(COUNTIF(L$62:$M$62,"A")&gt;0,0,(SUM($B65:K66)-SUM($B14:J14))/IF(K$62="x",1,COUNTA(K$2:$M$2)))</f>
        <v>2257.7318444444441</v>
      </c>
      <c r="L14" s="4">
        <f>IF(COUNTIF(M$62:$M$62,"A")&gt;0,0,(SUM($B65:L66)-SUM($B14:K14))/IF(L$62="x",1,COUNTA(L$2:$M$2)))</f>
        <v>2257.7318444444445</v>
      </c>
      <c r="M14" s="4">
        <f>IF(COUNTIF($M$62:N$62,"A")&gt;0,0,(SUM($B65:M66)-SUM($B14:L14))/IF(M$62="x",1,COUNTA(M$2:$M$2)))</f>
        <v>2257.7318444444463</v>
      </c>
      <c r="N14" s="8">
        <f t="shared" si="0"/>
        <v>21169.586599999995</v>
      </c>
    </row>
    <row r="15" spans="1:19" x14ac:dyDescent="0.2">
      <c r="B15" s="9"/>
      <c r="D15" s="58"/>
      <c r="G15" s="58"/>
      <c r="H15" s="9"/>
      <c r="J15" s="5"/>
      <c r="K15" s="5"/>
      <c r="L15" s="5"/>
      <c r="M15" s="5"/>
    </row>
    <row r="16" spans="1:19" x14ac:dyDescent="0.2">
      <c r="A16" s="9" t="s">
        <v>9</v>
      </c>
      <c r="B16" s="9">
        <f>B13-B14</f>
        <v>1383.3333333333335</v>
      </c>
      <c r="C16" s="9">
        <f t="shared" ref="C16:M16" si="6">C13-C14</f>
        <v>1383.3333333333333</v>
      </c>
      <c r="D16" s="9">
        <f t="shared" si="6"/>
        <v>1383.3333333333335</v>
      </c>
      <c r="E16" s="9">
        <f t="shared" si="6"/>
        <v>21631.157044444448</v>
      </c>
      <c r="F16" s="9">
        <f t="shared" si="6"/>
        <v>21631.157044444448</v>
      </c>
      <c r="G16" s="9">
        <f t="shared" si="6"/>
        <v>21631.157044444444</v>
      </c>
      <c r="H16" s="9">
        <f t="shared" si="6"/>
        <v>21631.157044444444</v>
      </c>
      <c r="I16" s="9">
        <f t="shared" si="6"/>
        <v>21631.157044444444</v>
      </c>
      <c r="J16" s="9">
        <f t="shared" si="6"/>
        <v>21631.157044444444</v>
      </c>
      <c r="K16" s="9">
        <f t="shared" si="6"/>
        <v>21631.157044444444</v>
      </c>
      <c r="L16" s="9">
        <f t="shared" si="6"/>
        <v>21631.157044444444</v>
      </c>
      <c r="M16" s="9">
        <f t="shared" si="6"/>
        <v>21631.15704444443</v>
      </c>
      <c r="N16" s="10">
        <f t="shared" si="0"/>
        <v>198830.41339999996</v>
      </c>
    </row>
    <row r="17" spans="1:19" x14ac:dyDescent="0.2">
      <c r="E17" s="3"/>
      <c r="H17" s="5"/>
    </row>
    <row r="18" spans="1:19" x14ac:dyDescent="0.2">
      <c r="A18" s="4" t="s">
        <v>10</v>
      </c>
      <c r="B18" s="100">
        <v>0</v>
      </c>
      <c r="C18" s="100">
        <v>0</v>
      </c>
      <c r="D18" s="100">
        <v>0</v>
      </c>
      <c r="E18" s="100">
        <v>0</v>
      </c>
      <c r="F18" s="100">
        <v>0</v>
      </c>
      <c r="G18" s="100">
        <v>0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8">
        <f t="shared" si="0"/>
        <v>0</v>
      </c>
      <c r="P18" s="61"/>
      <c r="Q18" s="61"/>
    </row>
    <row r="19" spans="1:19" x14ac:dyDescent="0.2">
      <c r="A19" s="4" t="s">
        <v>21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8">
        <f t="shared" si="0"/>
        <v>0</v>
      </c>
      <c r="P19" s="61"/>
      <c r="Q19" s="61"/>
    </row>
    <row r="20" spans="1:19" x14ac:dyDescent="0.2">
      <c r="A20" s="4" t="s">
        <v>22</v>
      </c>
      <c r="B20" s="100">
        <v>0</v>
      </c>
      <c r="C20" s="100">
        <v>0</v>
      </c>
      <c r="D20" s="100">
        <v>0</v>
      </c>
      <c r="E20" s="100">
        <v>0</v>
      </c>
      <c r="F20" s="100">
        <v>0</v>
      </c>
      <c r="G20" s="100">
        <v>0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8">
        <f t="shared" si="0"/>
        <v>0</v>
      </c>
      <c r="P20" s="61"/>
      <c r="Q20" s="61"/>
    </row>
    <row r="21" spans="1:19" x14ac:dyDescent="0.2">
      <c r="A21" s="77" t="s">
        <v>50</v>
      </c>
      <c r="B21" s="100">
        <v>0</v>
      </c>
      <c r="C21" s="100">
        <v>0</v>
      </c>
      <c r="D21" s="100">
        <v>0</v>
      </c>
      <c r="E21" s="100">
        <v>0</v>
      </c>
      <c r="F21" s="100">
        <v>0</v>
      </c>
      <c r="G21" s="100">
        <v>0</v>
      </c>
      <c r="H21" s="100">
        <v>0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8">
        <f t="shared" si="0"/>
        <v>0</v>
      </c>
      <c r="P21" s="61"/>
      <c r="Q21" s="61"/>
    </row>
    <row r="22" spans="1:19" x14ac:dyDescent="0.2">
      <c r="A22" s="4" t="s">
        <v>25</v>
      </c>
      <c r="B22" s="100">
        <v>0</v>
      </c>
      <c r="C22" s="100">
        <v>0</v>
      </c>
      <c r="D22" s="100">
        <v>0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8">
        <f t="shared" si="0"/>
        <v>0</v>
      </c>
      <c r="P22" s="61"/>
      <c r="Q22" s="61"/>
    </row>
    <row r="23" spans="1:19" x14ac:dyDescent="0.2">
      <c r="A23" s="76" t="s">
        <v>43</v>
      </c>
      <c r="B23" s="100">
        <v>0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8">
        <f t="shared" si="0"/>
        <v>0</v>
      </c>
      <c r="P23" s="61"/>
      <c r="Q23" s="61"/>
    </row>
    <row r="24" spans="1:19" x14ac:dyDescent="0.2">
      <c r="A24" s="77" t="s">
        <v>51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8">
        <f t="shared" si="0"/>
        <v>0</v>
      </c>
      <c r="P24" s="61"/>
      <c r="Q24" s="61"/>
    </row>
    <row r="25" spans="1:19" x14ac:dyDescent="0.2">
      <c r="A25" s="77" t="s">
        <v>45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8">
        <f t="shared" si="0"/>
        <v>0</v>
      </c>
      <c r="P25" s="61"/>
      <c r="Q25" s="61"/>
    </row>
    <row r="26" spans="1:19" x14ac:dyDescent="0.2">
      <c r="A26" s="68" t="s">
        <v>42</v>
      </c>
      <c r="B26" s="100">
        <v>0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8">
        <f t="shared" si="0"/>
        <v>0</v>
      </c>
      <c r="P26" s="61"/>
      <c r="Q26" s="61"/>
    </row>
    <row r="27" spans="1:19" x14ac:dyDescent="0.2">
      <c r="A27" s="77" t="s">
        <v>52</v>
      </c>
      <c r="B27" s="100">
        <v>0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8">
        <f t="shared" si="0"/>
        <v>0</v>
      </c>
      <c r="P27" s="61"/>
      <c r="Q27" s="61"/>
    </row>
    <row r="28" spans="1:19" s="19" customFormat="1" x14ac:dyDescent="0.2">
      <c r="A28" s="18"/>
      <c r="B28" s="18"/>
      <c r="G28" s="59"/>
      <c r="H28" s="20"/>
      <c r="J28" s="21"/>
      <c r="K28" s="21"/>
      <c r="L28" s="21"/>
      <c r="M28" s="21"/>
      <c r="P28" s="61"/>
      <c r="Q28" s="61"/>
    </row>
    <row r="29" spans="1:19" s="71" customFormat="1" x14ac:dyDescent="0.2">
      <c r="A29" s="69" t="s">
        <v>53</v>
      </c>
      <c r="B29" s="91">
        <f>IF(B76&lt;=Tablas!$G$3, MAX(0,B11+B16-SUM(B18:B27,B32:B37)),0)</f>
        <v>0</v>
      </c>
      <c r="C29" s="91">
        <f>IF(C76&lt;=Tablas!$G$3, MAX(0,C11+C16-SUM(C18:C27,C32:C37)),0)</f>
        <v>0</v>
      </c>
      <c r="D29" s="91">
        <f>IF(D76&lt;=Tablas!$G$3, MAX(0,D11+D16-SUM(D18:D27,D32:D37)),0)</f>
        <v>0</v>
      </c>
      <c r="E29" s="91">
        <f>IF(E76&lt;=Tablas!$G$3, MAX(0,E11+E16-SUM(E18:E27,E32:E37)),0)</f>
        <v>0</v>
      </c>
      <c r="F29" s="91">
        <f>IF(F76&lt;=Tablas!$G$3, MAX(0,F11+F16-SUM(F18:F27,F32:F37)),0)</f>
        <v>0</v>
      </c>
      <c r="G29" s="91">
        <f>IF(G76&lt;=Tablas!$J$3, MAX(0,G11+G16-SUM(G18:G27,G32:G37)),0)</f>
        <v>113959.78104444442</v>
      </c>
      <c r="H29" s="91">
        <f>IF(H76&lt;=Tablas!$J$3, MAX(0,H11+H16-SUM(H18:H27,H32:H37)),0)</f>
        <v>0</v>
      </c>
      <c r="I29" s="91">
        <f>IF(I76&lt;=Tablas!$J$3, MAX(0,I11+I16-SUM(I18:I27,I32:I37)),0)</f>
        <v>0</v>
      </c>
      <c r="J29" s="91">
        <f>IF(J76&lt;=Tablas!$J$3, MAX(0,J11+J16-SUM(J18:J27,J32:J37)),0)</f>
        <v>0</v>
      </c>
      <c r="K29" s="91">
        <f>IF(K76&lt;=Tablas!$J$3, MAX(0,K11+K16-SUM(K18:K27,K32:K37)),0)</f>
        <v>0</v>
      </c>
      <c r="L29" s="91">
        <f>IF(L76&lt;=Tablas!$J$3, MAX(0,L11+L16-SUM(L18:L27,L32:L37)),0)</f>
        <v>0</v>
      </c>
      <c r="M29" s="91">
        <f>IF(M76&lt;=Tablas!$J$3, MAX(0,M11+M16-SUM(M18:M27,M32:M37)),0)</f>
        <v>0</v>
      </c>
      <c r="N29" s="70">
        <f t="shared" si="0"/>
        <v>113959.78104444442</v>
      </c>
      <c r="P29" s="72"/>
      <c r="Q29" s="72"/>
    </row>
    <row r="30" spans="1:19" s="71" customFormat="1" x14ac:dyDescent="0.2">
      <c r="A30" s="69" t="s">
        <v>54</v>
      </c>
      <c r="B30" s="91">
        <f>VLOOKUP(B76,Tablas!$G:$H,2)</f>
        <v>0</v>
      </c>
      <c r="C30" s="91">
        <f>VLOOKUP(C76,Tablas!$G:$H,2)</f>
        <v>21591</v>
      </c>
      <c r="D30" s="91">
        <f>VLOOKUP(D76,Tablas!$G:$H,2)</f>
        <v>4281</v>
      </c>
      <c r="E30" s="91">
        <f>VLOOKUP(E76,Tablas!$G:$H,2)</f>
        <v>0</v>
      </c>
      <c r="F30" s="91">
        <f>VLOOKUP(F76,Tablas!$G:$H,2)</f>
        <v>47624</v>
      </c>
      <c r="G30" s="93">
        <f>VLOOKUP(G76,Tablas!$J:$K,2)</f>
        <v>0</v>
      </c>
      <c r="H30" s="91">
        <f>VLOOKUP(H76,Tablas!$J:$K,2)</f>
        <v>55745.66</v>
      </c>
      <c r="I30" s="91">
        <f>VLOOKUP(I76,Tablas!$J:$K,2)</f>
        <v>48057.49</v>
      </c>
      <c r="J30" s="91">
        <f>VLOOKUP(J76,Tablas!$J:$K,2)</f>
        <v>38383.339999999997</v>
      </c>
      <c r="K30" s="91">
        <f>VLOOKUP(K76,Tablas!$J:$K,2)</f>
        <v>19767.95</v>
      </c>
      <c r="L30" s="91">
        <f>VLOOKUP(L76,Tablas!$J:$K,2)</f>
        <v>75334.48</v>
      </c>
      <c r="M30" s="91">
        <f>VLOOKUP(M76,Tablas!$J:$K,2)</f>
        <v>21425.88</v>
      </c>
      <c r="N30" s="70">
        <f t="shared" si="0"/>
        <v>332210.8</v>
      </c>
      <c r="P30" s="72"/>
      <c r="Q30" s="72"/>
    </row>
    <row r="31" spans="1:19" s="71" customFormat="1" x14ac:dyDescent="0.2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P31" s="72"/>
      <c r="Q31" s="72"/>
    </row>
    <row r="32" spans="1:19" ht="12.75" x14ac:dyDescent="0.25">
      <c r="A32" s="4" t="s">
        <v>12</v>
      </c>
      <c r="B32" s="4">
        <f>O32</f>
        <v>101025.936</v>
      </c>
      <c r="C32" s="4">
        <f>IF(COUNTIF($B$62:B$62,"x")&gt;0,0,IF(C$62="A",$O32*COUNTA($A32:B32),IF(COUNTIF(D$62:$M$62,"A")&gt;0,0,$O32*IF(C$62="x",12,COUNTA($A32:B32))-SUM($B32:B32))))</f>
        <v>101025.936</v>
      </c>
      <c r="D32" s="4">
        <f>IF(COUNTIF($B$62:C$62,"x")&gt;0,0,IF(D$62="A",$O32*COUNTA($A32:C32),IF(COUNTIF(E$62:$M$62,"A")&gt;0,0,$O32*IF(D$62="x",12,COUNTA($A32:C32))-SUM($B32:C32))))</f>
        <v>101025.93600000002</v>
      </c>
      <c r="E32" s="4">
        <f>IF(COUNTIF($B$62:D$62,"x")&gt;0,0,IF(E$62="A",$O32*COUNTA($A32:D32),IF(COUNTIF(F$62:$M$62,"A")&gt;0,0,$O32*IF(E$62="x",12,COUNTA($A32:D32))-SUM($B32:D32))))</f>
        <v>101025.93599999999</v>
      </c>
      <c r="F32" s="4">
        <f>IF(COUNTIF($B$62:E$62,"x")&gt;0,0,IF(F$62="A",$O32*COUNTA($A32:E32),IF(COUNTIF(G$62:$M$62,"A")&gt;0,0,$O32*IF(F$62="x",12,COUNTA($A32:E32))-SUM($B32:E32))))</f>
        <v>101025.93599999999</v>
      </c>
      <c r="G32" s="4">
        <f>IF(COUNTIF($B$62:F$62,"x")&gt;0,0,IF(G$62="A",$O32*COUNTA($A32:F32),IF(COUNTIF(H$62:$M$62,"A")&gt;0,0,$O32*IF(G$62="x",12,COUNTA($A32:F32))-SUM($B32:F32))))</f>
        <v>101025.93600000005</v>
      </c>
      <c r="H32" s="4">
        <f>IF(COUNTIF($B$62:G$62,"x")&gt;0,0,IF(H$62="A",$O32*COUNTA($A32:G32),IF(COUNTIF(I$62:$M$62,"A")&gt;0,0,$O32*IF(H$62="x",12,COUNTA($A32:G32))-SUM($B32:G32))))</f>
        <v>101025.93599999999</v>
      </c>
      <c r="I32" s="4">
        <f>IF(COUNTIF($B$62:H$62,"x")&gt;0,0,IF(I$62="A",$O32*COUNTA($A32:H32),IF(COUNTIF(J$62:$M$62,"A")&gt;0,0,$O32*IF(I$62="x",12,COUNTA($A32:H32))-SUM($B32:H32))))</f>
        <v>101025.93599999999</v>
      </c>
      <c r="J32" s="4">
        <f>IF(COUNTIF($B$62:I$62,"x")&gt;0,0,IF(J$62="A",$O32*COUNTA($A32:I32),IF(COUNTIF(K$62:$M$62,"A")&gt;0,0,$O32*IF(J$62="x",12,COUNTA($A32:I32))-SUM($B32:I32))))</f>
        <v>101025.93599999999</v>
      </c>
      <c r="K32" s="4">
        <f>IF(COUNTIF($B$62:J$62,"x")&gt;0,0,IF(K$62="A",$O32*COUNTA($A32:J32),IF(COUNTIF(L$62:$M$62,"A")&gt;0,0,$O32*IF(K$62="x",12,COUNTA($A32:J32))-SUM($B32:J32))))</f>
        <v>101025.93599999999</v>
      </c>
      <c r="L32" s="4">
        <f>IF(COUNTIF($B$62:K$62,"x")&gt;0,0,IF(L$62="A",$O32*COUNTA($A32:K32),IF(COUNTIF(M$62:$M$62,"A")&gt;0,0,$O32*IF(L$62="x",12,COUNTA($A32:K32))-SUM($B32:K32))))</f>
        <v>101025.9360000001</v>
      </c>
      <c r="M32" s="4">
        <f>IF(COUNTIF($B$62:L$62,"x")&gt;0,0,IF(M$62="A",$O32*COUNTA($A32:L32),IF(COUNTIF($M$62:N$62,"A")&gt;0,0,$O32*IF(M$62="x",12,COUNTA($A32:L32))-SUM($B32:L32))))</f>
        <v>101025.93599999999</v>
      </c>
      <c r="N32" s="8">
        <f t="shared" si="0"/>
        <v>1212311.2320000001</v>
      </c>
      <c r="O32" s="31">
        <f>O33*4.8</f>
        <v>101025.936</v>
      </c>
      <c r="P32" s="31">
        <f>ROUND(P33*4.8,2)+0.01</f>
        <v>1212311.24</v>
      </c>
      <c r="Q32" s="61"/>
      <c r="R32" s="62"/>
      <c r="S32" s="3"/>
    </row>
    <row r="33" spans="1:19" ht="12.75" x14ac:dyDescent="0.25">
      <c r="A33" s="4" t="s">
        <v>11</v>
      </c>
      <c r="B33" s="4">
        <f>O33</f>
        <v>21047.07</v>
      </c>
      <c r="C33" s="4">
        <f t="shared" ref="C33:M33" si="7">C32/4.8</f>
        <v>21047.07</v>
      </c>
      <c r="D33" s="4">
        <f t="shared" si="7"/>
        <v>21047.070000000003</v>
      </c>
      <c r="E33" s="4">
        <f t="shared" si="7"/>
        <v>21047.07</v>
      </c>
      <c r="F33" s="4">
        <f t="shared" si="7"/>
        <v>21047.07</v>
      </c>
      <c r="G33" s="4">
        <f t="shared" si="7"/>
        <v>21047.070000000011</v>
      </c>
      <c r="H33" s="4">
        <f t="shared" si="7"/>
        <v>21047.07</v>
      </c>
      <c r="I33" s="4">
        <f t="shared" si="7"/>
        <v>21047.07</v>
      </c>
      <c r="J33" s="4">
        <f t="shared" si="7"/>
        <v>21047.07</v>
      </c>
      <c r="K33" s="4">
        <f t="shared" si="7"/>
        <v>21047.07</v>
      </c>
      <c r="L33" s="4">
        <f t="shared" si="7"/>
        <v>21047.070000000022</v>
      </c>
      <c r="M33" s="4">
        <f t="shared" si="7"/>
        <v>21047.07</v>
      </c>
      <c r="N33" s="8">
        <f t="shared" si="0"/>
        <v>252564.84000000008</v>
      </c>
      <c r="O33" s="31">
        <f>P33/12</f>
        <v>21047.07</v>
      </c>
      <c r="P33" s="31">
        <v>252564.84</v>
      </c>
      <c r="Q33" s="61"/>
      <c r="R33" s="61"/>
      <c r="S33" s="3"/>
    </row>
    <row r="34" spans="1:19" ht="12.75" x14ac:dyDescent="0.25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8"/>
      <c r="O34" s="31"/>
      <c r="P34" s="103"/>
      <c r="Q34" s="61"/>
      <c r="R34" s="61"/>
    </row>
    <row r="35" spans="1:19" ht="12.75" x14ac:dyDescent="0.25">
      <c r="A35" s="101" t="s">
        <v>65</v>
      </c>
      <c r="B35" s="4">
        <f>IF(B$62="A",$O35*B68,IF(COUNTIF(C$62:$M$62,"A")&gt;0,0,$O35*IF(B$62="x",12,1)*B68))</f>
        <v>0</v>
      </c>
      <c r="C35" s="4">
        <f>IF(COUNTIF($B$62:B$62,"x")&gt;0,0,IF(C$62="A",$O35*COUNTA($A35:B35)*C68,IF(COUNTIF(D$62:$M$62,"A")&gt;0,0,$O35*IF(C$62="x",12,COUNTA($A35:B35))*C68-SUM($B35:B35))))</f>
        <v>0</v>
      </c>
      <c r="D35" s="4">
        <f>IF(COUNTIF($B$62:C$62,"x")&gt;0,0,IF(D$62="A",$O35*COUNTA($A35:C35)*D68,IF(COUNTIF(E$62:$M$62,"A")&gt;0,0,$O35*IF(D$62="x",12,COUNTA($A35:C35))*D68-SUM($B35:C35))))</f>
        <v>0</v>
      </c>
      <c r="E35" s="4">
        <f>IF(COUNTIF($B$62:D$62,"x")&gt;0,0,IF(E$62="A",$O35*COUNTA($A35:D35)*E68,IF(COUNTIF(F$62:$M$62,"A")&gt;0,0,$O35*IF(E$62="x",12,COUNTA($A35:D35))*E68-SUM($B35:D35))))</f>
        <v>0</v>
      </c>
      <c r="F35" s="4">
        <f>IF(COUNTIF($B$62:E$62,"x")&gt;0,0,IF(F$62="A",$O35*COUNTA($A35:E35)*F68,IF(COUNTIF(G$62:$M$62,"A")&gt;0,0,$O35*IF(F$62="x",12,COUNTA($A35:E35))*F68-SUM($B35:E35))))</f>
        <v>0</v>
      </c>
      <c r="G35" s="4">
        <f>IF(COUNTIF($B$62:F$62,"x")&gt;0,0,IF(G$62="A",$O35*COUNTA($A35:F35)*G68,IF(COUNTIF(H$62:$M$62,"A")&gt;0,0,$O35*IF(G$62="x",12,COUNTA($A35:F35))*G68-SUM($B35:F35))))</f>
        <v>0</v>
      </c>
      <c r="H35" s="4">
        <f>IF(COUNTIF($B$62:G$62,"x")&gt;0,0,IF(H$62="A",$O35*COUNTA($A35:G35)*H68,IF(COUNTIF(I$62:$M$62,"A")&gt;0,0,$O35*IF(H$62="x",12,COUNTA($A35:G35))*H68-SUM($B35:G35))))</f>
        <v>0</v>
      </c>
      <c r="I35" s="4">
        <f>IF(COUNTIF($B$62:H$62,"x")&gt;0,0,IF(I$62="A",$O35*COUNTA($A35:H35)*I68,IF(COUNTIF(J$62:$M$62,"A")&gt;0,0,$O35*IF(I$62="x",12,COUNTA($A35:H35))*I68-SUM($B35:H35))))</f>
        <v>0</v>
      </c>
      <c r="J35" s="4">
        <f>IF(COUNTIF($B$62:I$62,"x")&gt;0,0,IF(J$62="A",$O35*COUNTA($A35:I35)*J68,IF(COUNTIF(K$62:$M$62,"A")&gt;0,0,$O35*IF(J$62="x",12,COUNTA($A35:I35))*J68-SUM($B35:I35))))</f>
        <v>0</v>
      </c>
      <c r="K35" s="4">
        <f>IF(COUNTIF($B$62:J$62,"x")&gt;0,0,IF(K$62="A",$O35*COUNTA($A35:J35)*K68,IF(COUNTIF(L$62:$M$62,"A")&gt;0,0,$O35*IF(K$62="x",12,COUNTA($A35:J35))*K68-SUM($B35:J35))))</f>
        <v>0</v>
      </c>
      <c r="L35" s="4">
        <f>IF(COUNTIF($B$62:K$62,"x")&gt;0,0,IF(L$62="A",$O35*COUNTA($A35:K35)*L68,IF(COUNTIF(M$62:$M$62,"A")&gt;0,0,$O35*IF(L$62="x",12,COUNTA($A35:K35))*L68-SUM($B35:K35))))</f>
        <v>0</v>
      </c>
      <c r="M35" s="4">
        <f>IF(COUNTIF($B$62:L$62,"x")&gt;0,0,IF(M$62="A",$O35*COUNTA($A35:L35)*M68,IF(COUNTIF($M$62:N$62,"A")&gt;0,0,$O35*IF(M$62="x",12,COUNTA($A35:L35))*M68-SUM($B35:L35))))</f>
        <v>0</v>
      </c>
      <c r="N35" s="8">
        <f t="shared" si="0"/>
        <v>0</v>
      </c>
      <c r="O35" s="31">
        <f>P35/12</f>
        <v>19621.4375</v>
      </c>
      <c r="P35" s="31">
        <v>235457.25</v>
      </c>
    </row>
    <row r="36" spans="1:19" ht="12.75" x14ac:dyDescent="0.25">
      <c r="A36" s="4" t="s">
        <v>19</v>
      </c>
      <c r="B36" s="4">
        <f>IF(B$62="A",$O36*B69,IF(COUNTIF(C$62:$M$62,"A")&gt;0,0,$O36*IF(B$62="x",12,1)*B69))</f>
        <v>19790.328333333335</v>
      </c>
      <c r="C36" s="4">
        <f>IF(COUNTIF($B$62:B$62,"x")&gt;0,0,IF(C$62="A",$O36*COUNTA($A36:B36)*C69,IF(COUNTIF(D$62:$M$62,"A")&gt;0,0,$O36*IF(C$62="x",12,COUNTA($A36:B36))*C69-SUM($B36:B36))))</f>
        <v>19790.328333333335</v>
      </c>
      <c r="D36" s="4">
        <f>IF(COUNTIF($B$62:C$62,"x")&gt;0,0,IF(D$62="A",$O36*COUNTA($A36:C36)*D69,IF(COUNTIF(E$62:$M$62,"A")&gt;0,0,$O36*IF(D$62="x",12,COUNTA($A36:C36))*D69-SUM($B36:C36))))</f>
        <v>19790.328333333331</v>
      </c>
      <c r="E36" s="4">
        <f>IF(COUNTIF($B$62:D$62,"x")&gt;0,0,IF(E$62="A",$O36*COUNTA($A36:D36)*E69,IF(COUNTIF(F$62:$M$62,"A")&gt;0,0,$O36*IF(E$62="x",12,COUNTA($A36:D36))*E69-SUM($B36:D36))))</f>
        <v>19790.328333333338</v>
      </c>
      <c r="F36" s="4">
        <f>IF(COUNTIF($B$62:E$62,"x")&gt;0,0,IF(F$62="A",$O36*COUNTA($A36:E36)*F69,IF(COUNTIF(G$62:$M$62,"A")&gt;0,0,$O36*IF(F$62="x",12,COUNTA($A36:E36))*F69-SUM($B36:E36))))</f>
        <v>19790.328333333338</v>
      </c>
      <c r="G36" s="4">
        <f>IF(COUNTIF($B$62:F$62,"x")&gt;0,0,IF(G$62="A",$O36*COUNTA($A36:F36)*G69,IF(COUNTIF(H$62:$M$62,"A")&gt;0,0,$O36*IF(G$62="x",12,COUNTA($A36:F36))*G69-SUM($B36:F36))))</f>
        <v>19790.328333333324</v>
      </c>
      <c r="H36" s="4">
        <f>IF(COUNTIF($B$62:G$62,"x")&gt;0,0,IF(H$62="A",$O36*COUNTA($A36:G36)*H69,IF(COUNTIF(I$62:$M$62,"A")&gt;0,0,$O36*IF(H$62="x",12,COUNTA($A36:G36))*H69-SUM($B36:G36))))</f>
        <v>19790.328333333338</v>
      </c>
      <c r="I36" s="4">
        <f>IF(COUNTIF($B$62:H$62,"x")&gt;0,0,IF(I$62="A",$O36*COUNTA($A36:H36)*I69,IF(COUNTIF(J$62:$M$62,"A")&gt;0,0,$O36*IF(I$62="x",12,COUNTA($A36:H36))*I69-SUM($B36:H36))))</f>
        <v>19790.328333333338</v>
      </c>
      <c r="J36" s="4">
        <f>IF(COUNTIF($B$62:I$62,"x")&gt;0,0,IF(J$62="A",$O36*COUNTA($A36:I36)*J69,IF(COUNTIF(K$62:$M$62,"A")&gt;0,0,$O36*IF(J$62="x",12,COUNTA($A36:I36))*J69-SUM($B36:I36))))</f>
        <v>19790.328333333338</v>
      </c>
      <c r="K36" s="4">
        <f>IF(COUNTIF($B$62:J$62,"x")&gt;0,0,IF(K$62="A",$O36*COUNTA($A36:J36)*K69,IF(COUNTIF(L$62:$M$62,"A")&gt;0,0,$O36*IF(K$62="x",12,COUNTA($A36:J36))*K69-SUM($B36:J36))))</f>
        <v>19790.328333333338</v>
      </c>
      <c r="L36" s="4">
        <f>IF(COUNTIF($B$62:K$62,"x")&gt;0,0,IF(L$62="A",$O36*COUNTA($A36:K36)*L69,IF(COUNTIF(M$62:$M$62,"A")&gt;0,0,$O36*IF(L$62="x",12,COUNTA($A36:K36))*L69-SUM($B36:K36))))</f>
        <v>19790.328333333338</v>
      </c>
      <c r="M36" s="4">
        <f>IF(COUNTIF($B$62:L$62,"x")&gt;0,0,IF(M$62="A",$O36*COUNTA($A36:L36)*M69,IF(COUNTIF($M$62:N$62,"A")&gt;0,0,$O36*IF(M$62="x",12,COUNTA($A36:L36))*M69-SUM($B36:L36))))</f>
        <v>19790.328333333309</v>
      </c>
      <c r="N36" s="8">
        <f t="shared" si="0"/>
        <v>237483.94</v>
      </c>
      <c r="O36" s="31">
        <f>P36/12</f>
        <v>9895.1641666666674</v>
      </c>
      <c r="P36" s="63">
        <v>118741.97</v>
      </c>
    </row>
    <row r="37" spans="1:19" ht="12.75" x14ac:dyDescent="0.25">
      <c r="A37" s="94" t="s">
        <v>64</v>
      </c>
      <c r="B37" s="4">
        <f>IF(B$62="A",$O37*B70,IF(COUNTIF(C$62:$M$62,"A")&gt;0,0,$O37*IF(B$62="x",12,1)*B70))</f>
        <v>0</v>
      </c>
      <c r="C37" s="4">
        <f>IF(COUNTIF($B$62:B$62,"x")&gt;0,0,IF(C$62="A",$O37*COUNTA($A37:B37)*C70,IF(COUNTIF(D$62:$M$62,"A")&gt;0,0,$O37*IF(C$62="x",12,COUNTA($A37:B37))*C70-SUM($B37:B37))))</f>
        <v>0</v>
      </c>
      <c r="D37" s="4">
        <f>IF(COUNTIF($B$62:C$62,"x")&gt;0,0,IF(D$62="A",$O37*COUNTA($A37:C37)*D70,IF(COUNTIF(E$62:$M$62,"A")&gt;0,0,$O37*IF(D$62="x",12,COUNTA($A37:C37))*D70-SUM($B37:C37))))</f>
        <v>0</v>
      </c>
      <c r="E37" s="4">
        <f>IF(COUNTIF($B$62:D$62,"x")&gt;0,0,IF(E$62="A",$O37*COUNTA($A37:D37)*E70,IF(COUNTIF(F$62:$M$62,"A")&gt;0,0,$O37*IF(E$62="x",12,COUNTA($A37:D37))*E70-SUM($B37:D37))))</f>
        <v>0</v>
      </c>
      <c r="F37" s="4">
        <f>IF(COUNTIF($B$62:E$62,"x")&gt;0,0,IF(F$62="A",$O37*COUNTA($A37:E37)*F70,IF(COUNTIF(G$62:$M$62,"A")&gt;0,0,$O37*IF(F$62="x",12,COUNTA($A37:E37))*F70-SUM($B37:E37))))</f>
        <v>0</v>
      </c>
      <c r="G37" s="4">
        <f>IF(COUNTIF($B$62:F$62,"x")&gt;0,0,IF(G$62="A",$O37*COUNTA($A37:F37)*G70,IF(COUNTIF(H$62:$M$62,"A")&gt;0,0,$O37*IF(G$62="x",12,COUNTA($A37:F37))*G70-SUM($B37:F37))))</f>
        <v>0</v>
      </c>
      <c r="H37" s="4">
        <f>IF(COUNTIF($B$62:G$62,"x")&gt;0,0,IF(H$62="A",$O37*COUNTA($A37:G37)*H70,IF(COUNTIF(I$62:$M$62,"A")&gt;0,0,$O37*IF(H$62="x",12,COUNTA($A37:G37))*H70-SUM($B37:G37))))</f>
        <v>0</v>
      </c>
      <c r="I37" s="4">
        <f>IF(COUNTIF($B$62:H$62,"x")&gt;0,0,IF(I$62="A",$O37*COUNTA($A37:H37)*I70,IF(COUNTIF(J$62:$M$62,"A")&gt;0,0,$O37*IF(I$62="x",12,COUNTA($A37:H37))*I70-SUM($B37:H37))))</f>
        <v>0</v>
      </c>
      <c r="J37" s="4">
        <f>IF(COUNTIF($B$62:I$62,"x")&gt;0,0,IF(J$62="A",$O37*COUNTA($A37:I37)*J70,IF(COUNTIF(K$62:$M$62,"A")&gt;0,0,$O37*IF(J$62="x",12,COUNTA($A37:I37))*J70-SUM($B37:I37))))</f>
        <v>0</v>
      </c>
      <c r="K37" s="4">
        <f>IF(COUNTIF($B$62:J$62,"x")&gt;0,0,IF(K$62="A",$O37*COUNTA($A37:J37)*K70,IF(COUNTIF(L$62:$M$62,"A")&gt;0,0,$O37*IF(K$62="x",12,COUNTA($A37:J37))*K70-SUM($B37:J37))))</f>
        <v>0</v>
      </c>
      <c r="L37" s="4">
        <f>IF(COUNTIF($B$62:K$62,"x")&gt;0,0,IF(L$62="A",$O37*COUNTA($A37:K37)*L70,IF(COUNTIF(M$62:$M$62,"A")&gt;0,0,$O37*IF(L$62="x",12,COUNTA($A37:K37))*L70-SUM($B37:K37))))</f>
        <v>0</v>
      </c>
      <c r="M37" s="4">
        <f>IF(COUNTIF($B$62:L$62,"x")&gt;0,0,IF(M$62="A",$O37*COUNTA($A37:L37)*M70,IF(COUNTIF($M$62:N$62,"A")&gt;0,0,$O37*IF(M$62="x",12,COUNTA($A37:L37))*M70-SUM($B37:L37))))</f>
        <v>0</v>
      </c>
      <c r="N37" s="8">
        <f t="shared" si="0"/>
        <v>0</v>
      </c>
      <c r="O37" s="31">
        <f>O36*2</f>
        <v>19790.328333333335</v>
      </c>
      <c r="P37" s="31">
        <f>P36*2</f>
        <v>237483.94</v>
      </c>
    </row>
    <row r="38" spans="1:19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8">
        <f t="shared" si="0"/>
        <v>0</v>
      </c>
    </row>
    <row r="39" spans="1:19" x14ac:dyDescent="0.2">
      <c r="A39" s="9" t="s">
        <v>61</v>
      </c>
      <c r="B39" s="9">
        <f t="shared" ref="B39:M39" si="8">SUM(B18:B38)</f>
        <v>141863.33433333333</v>
      </c>
      <c r="C39" s="9">
        <f t="shared" si="8"/>
        <v>163454.33433333333</v>
      </c>
      <c r="D39" s="9">
        <f t="shared" si="8"/>
        <v>146144.33433333336</v>
      </c>
      <c r="E39" s="9">
        <f t="shared" si="8"/>
        <v>141863.33433333333</v>
      </c>
      <c r="F39" s="9">
        <f t="shared" si="8"/>
        <v>189487.33433333333</v>
      </c>
      <c r="G39" s="9">
        <f t="shared" si="8"/>
        <v>255823.11537777778</v>
      </c>
      <c r="H39" s="9">
        <f t="shared" si="8"/>
        <v>197608.99433333334</v>
      </c>
      <c r="I39" s="9">
        <f t="shared" si="8"/>
        <v>189920.82433333332</v>
      </c>
      <c r="J39" s="9">
        <f t="shared" si="8"/>
        <v>180246.67433333333</v>
      </c>
      <c r="K39" s="9">
        <f t="shared" si="8"/>
        <v>161631.28433333331</v>
      </c>
      <c r="L39" s="9">
        <f t="shared" si="8"/>
        <v>217197.81433333343</v>
      </c>
      <c r="M39" s="9">
        <f t="shared" si="8"/>
        <v>163289.21433333331</v>
      </c>
      <c r="N39" s="10">
        <f t="shared" si="0"/>
        <v>2148530.5930444445</v>
      </c>
    </row>
    <row r="40" spans="1:19" x14ac:dyDescent="0.2">
      <c r="B40" s="4"/>
    </row>
    <row r="41" spans="1:19" x14ac:dyDescent="0.2">
      <c r="A41" s="57" t="s">
        <v>49</v>
      </c>
      <c r="B41" s="95"/>
      <c r="C41" s="61">
        <f t="shared" ref="C41:M41" si="9">C11+C16-C39</f>
        <v>60289.319000000018</v>
      </c>
      <c r="D41" s="61">
        <f t="shared" si="9"/>
        <v>87044.165666666639</v>
      </c>
      <c r="E41" s="61">
        <f t="shared" si="9"/>
        <v>106933.28937777775</v>
      </c>
      <c r="F41" s="61">
        <f t="shared" si="9"/>
        <v>41709.900211111119</v>
      </c>
      <c r="G41" s="61">
        <f t="shared" si="9"/>
        <v>0</v>
      </c>
      <c r="H41" s="61">
        <f t="shared" si="9"/>
        <v>131972.35937777779</v>
      </c>
      <c r="I41" s="61">
        <f t="shared" si="9"/>
        <v>109632.85854444452</v>
      </c>
      <c r="J41" s="61">
        <f t="shared" si="9"/>
        <v>127895.84854444448</v>
      </c>
      <c r="K41" s="61">
        <f t="shared" si="9"/>
        <v>173178.72354444448</v>
      </c>
      <c r="L41" s="61">
        <f t="shared" si="9"/>
        <v>66686.091044444387</v>
      </c>
      <c r="M41" s="61">
        <f t="shared" si="9"/>
        <v>170209.49437777774</v>
      </c>
      <c r="N41" s="4"/>
    </row>
    <row r="42" spans="1:19" x14ac:dyDescent="0.2">
      <c r="A42" s="77" t="s">
        <v>48</v>
      </c>
      <c r="B42" s="37">
        <f>SUM($B3:B5,$B13:B13)-SUM($B9:B10,$B14:B14,$B39:B39)-SUM($B48:B49,-$B50:B50,-$B51:B51)</f>
        <v>90011.483166666643</v>
      </c>
      <c r="C42" s="37">
        <f>SUM($B3:C5,$B13:C13,$B50:C50,$B51:C51)-SUM($B9:C10,$B14:C14,$B39:C39,$B48:C49)</f>
        <v>150300.8021666666</v>
      </c>
      <c r="D42" s="37">
        <f>SUM($B3:D5,$B13:D13,$B50:D50,$B51:D51)-SUM($B9:D10,$B14:D14,$B39:D39,$B48:D49)</f>
        <v>237344.9678333333</v>
      </c>
      <c r="E42" s="37">
        <f>SUM($B3:E5,$B13:E13,$B50:E50,$B51:E51)-SUM($B9:E10,$B14:E14,$B39:E39,$B48:E49)</f>
        <v>344278.25721111137</v>
      </c>
      <c r="F42" s="37">
        <f>SUM($B3:F5,$B13:F13,$B50:F50,$B51:F51)-SUM($B9:F10,$B14:F14,$B39:F39,$B48:F49)</f>
        <v>385988.15742222243</v>
      </c>
      <c r="G42" s="37">
        <f>SUM($B3:G5,$B13:G13,$B50:G50,$B51:G51)-SUM($B9:G10,$B14:G14,$B39:G39,$B48:G49)</f>
        <v>257088.15742222266</v>
      </c>
      <c r="H42" s="37">
        <f>SUM($B3:H5,$B13:H13,$B50:H50,$B51:H51)-SUM($B9:H10,$B14:H14,$B39:H39,$B48:H49)</f>
        <v>389060.51680000033</v>
      </c>
      <c r="I42" s="37">
        <f>SUM($B3:I5,$B13:I13,$B50:I50,$B51:I51)-SUM($B9:I10,$B14:I14,$B39:I39,$B48:I49)</f>
        <v>498693.375344445</v>
      </c>
      <c r="J42" s="37">
        <f>SUM($B3:J5,$B13:J13,$B50:J50,$B51:J51)-SUM($B9:J10,$B14:J14,$B39:J39,$B48:J49)</f>
        <v>626589.22388888919</v>
      </c>
      <c r="K42" s="37">
        <f>SUM($B3:K5,$B13:K13,$B50:K50,$B51:K51)-SUM($B9:K10,$B14:K14,$B39:K39,$B48:K49)</f>
        <v>799767.94743333384</v>
      </c>
      <c r="L42" s="37">
        <f>SUM($B3:L5,$B13:L13,$B50:L50,$B51:L51)-SUM($B9:L10,$B14:L14,$B39:L39,$B48:L49)</f>
        <v>866454.03847777797</v>
      </c>
      <c r="M42" s="37">
        <f>SUM($B3:M5,$B13:M13,$B50:M50,$B51:M51)-SUM($B9:M10,$B14:M14,$B39:M39,$B48:M49)</f>
        <v>862514.03285555588</v>
      </c>
      <c r="N42" s="4"/>
    </row>
    <row r="43" spans="1:19" x14ac:dyDescent="0.2">
      <c r="A43" s="46" t="s">
        <v>40</v>
      </c>
      <c r="B43" s="38">
        <f>IF(B62="x",VLOOKUP(B42,Tablas!$A$1:$D$10,3)+(B42-VLOOKUP(B42,Tablas!$A$1:$D$10,1))*VLOOKUP(B42,Tablas!$A$1:$D$10,4),VLOOKUP(B42,Tablas!$A$13:$D$22,3)+(B42-VLOOKUP(B42,Tablas!$A$13:$D$22,1))*VLOOKUP(B42,Tablas!$A$13:$D$22,4))</f>
        <v>16931.94853833333</v>
      </c>
      <c r="C43" s="38">
        <f>IF(C62="x",VLOOKUP(C42,Tablas!$A$1:$D$10,3)+(C42-VLOOKUP(C42,Tablas!$A$1:$D$10,1))*VLOOKUP(C42,Tablas!$A$1:$D$10,4),VLOOKUP(C42,Tablas!$A$25:$D$34,3)+(C42-VLOOKUP(C42,Tablas!$A$25:$D$34,1))*VLOOKUP(C42,Tablas!$A$25:$D$34,4))</f>
        <v>25838.912751666656</v>
      </c>
      <c r="D43" s="38">
        <f>IF(D62="x",VLOOKUP(D42,Tablas!$A$1:$D$10,3)+(D42-VLOOKUP(D42,Tablas!$A$1:$D$10,1))*VLOOKUP(D42,Tablas!$A$1:$D$10,4),VLOOKUP(D42,Tablas!$A$37:$D$46,3)+(D42-VLOOKUP(D42,Tablas!$A$37:$D$46,1))*VLOOKUP(D42,Tablas!$A$37:$D$46,4))</f>
        <v>41969.685564999992</v>
      </c>
      <c r="E43" s="38">
        <f>IF(E62="x",VLOOKUP(E42,Tablas!$A$1:$D$10,3)+(E42-VLOOKUP(E42,Tablas!$A$1:$D$10,1))*VLOOKUP(E42,Tablas!$A$1:$D$10,4),VLOOKUP(E42,Tablas!$A$49:$D$58,3)+(E42-VLOOKUP(E42,Tablas!$A$49:$D$58,1))*VLOOKUP(E42,Tablas!$A$49:$D$58,4))</f>
        <v>63470.521780333416</v>
      </c>
      <c r="F43" s="38">
        <f>IF(F62="x",VLOOKUP(F42,Tablas!$A$1:$D$10,3)+(F42-VLOOKUP(F42,Tablas!$A$1:$D$10,1))*VLOOKUP(F42,Tablas!$A$1:$D$10,4),VLOOKUP(F42,Tablas!$A$61:$D$70,3)+(F42-VLOOKUP(F42,Tablas!$A$61:$D$70,1))*VLOOKUP(F42,Tablas!$A$61:$D$70,4))</f>
        <v>67361.042920666747</v>
      </c>
      <c r="G43" s="38">
        <f>IF(G62="x",VLOOKUP(G42,Tablas!$A$1:$D$10,3)+(G42-VLOOKUP(G42,Tablas!$A$1:$D$10,1))*VLOOKUP(G42,Tablas!$A$1:$D$10,4),VLOOKUP(G42,Tablas!$A$73:$D$82,3)+(G42-VLOOKUP(G42,Tablas!$A$73:$D$82,1))*VLOOKUP(G42,Tablas!$A$73:$D$82,4))</f>
        <v>31836.399210222306</v>
      </c>
      <c r="H43" s="38">
        <f>IF(H62="x",VLOOKUP(H42,Tablas!$A$1:$D$10,3)+(H42-VLOOKUP(H42,Tablas!$A$1:$D$10,1))*VLOOKUP(H42,Tablas!$A$1:$D$10,4),VLOOKUP(H42,Tablas!$A$85:$D$94,3)+(H42-VLOOKUP(H42,Tablas!$A$85:$D$94,1))*VLOOKUP(H42,Tablas!$A$85:$D$94,4))</f>
        <v>56030.229247333402</v>
      </c>
      <c r="I43" s="38">
        <f>IF(I62="x",VLOOKUP(I42,Tablas!$A$1:$D$10,3)+(I42-VLOOKUP(I42,Tablas!$A$1:$D$10,1))*VLOOKUP(I42,Tablas!$A$1:$D$10,4),VLOOKUP(I42,Tablas!$A$97:$D$106,3)+(I42-VLOOKUP(I42,Tablas!$A$97:$D$106,1))*VLOOKUP(I42,Tablas!$A$97:$D$106,4))</f>
        <v>76466.688195889015</v>
      </c>
      <c r="J43" s="38">
        <f>IF(J62="x",VLOOKUP(J42,Tablas!$A$1:$D$10,3)+(J42-VLOOKUP(J42,Tablas!$A$1:$D$10,1))*VLOOKUP(J42,Tablas!$A$1:$D$10,4),VLOOKUP(J42,Tablas!$A$109:$D$118,3)+(J42-VLOOKUP(J42,Tablas!$A$109:$D$118,1))*VLOOKUP(J42,Tablas!$A$109:$D$118,4))</f>
        <v>102838.72320000011</v>
      </c>
      <c r="K43" s="38">
        <f>IF(K62="x",VLOOKUP(K42,Tablas!$A$1:$D$10,3)+(K42-VLOOKUP(K42,Tablas!$A$1:$D$10,1))*VLOOKUP(K42,Tablas!$A$1:$D$10,4),VLOOKUP(K42,Tablas!$A$121:$D$130,3)+(K42-VLOOKUP(K42,Tablas!$A$121:$D$130,1))*VLOOKUP(K42,Tablas!$A$121:$D$130,4))</f>
        <v>142225.82664033351</v>
      </c>
      <c r="L43" s="38">
        <f>IF(L62="x",VLOOKUP(L42,Tablas!$A$1:$D$10,3)+(L42-VLOOKUP(L42,Tablas!$A$1:$D$10,1))*VLOOKUP(L42,Tablas!$A$1:$D$10,4),VLOOKUP(L42,Tablas!$A$133:$D$142,3)+(L42-VLOOKUP(L42,Tablas!$A$133:$D$142,1))*VLOOKUP(L42,Tablas!$A$133:$D$142,4))</f>
        <v>152859.91930566676</v>
      </c>
      <c r="M43" s="38">
        <f>IF(M62="x",VLOOKUP(M42,Tablas!$A$1:$D$10,3)+(M42-VLOOKUP(M42,Tablas!$A$1:$D$10,1))*VLOOKUP(M42,Tablas!$A$1:$D$10,4),VLOOKUP(M42,Tablas!$A$1:$D$10,3)+(M42-VLOOKUP(M42,Tablas!$A$1:$D$10,1))*VLOOKUP(M42,Tablas!$A$1:$D$10,4))</f>
        <v>144424.96587100011</v>
      </c>
      <c r="N43" s="4"/>
    </row>
    <row r="44" spans="1:19" x14ac:dyDescent="0.2">
      <c r="B44" s="48">
        <f>IF(B62="x",VLOOKUP(MAX(0,B42),Tablas!$A$1:$D$10,4),VLOOKUP(MAX(0,B42),Tablas!$A$13:$D$22,4))</f>
        <v>0.27</v>
      </c>
      <c r="C44" s="48">
        <f>IF(C62="x",VLOOKUP(MAX(0,C42),Tablas!$A$1:$D$10,4),VLOOKUP(MAX(0,C42),Tablas!$A$25:$D$34,4))</f>
        <v>0.27</v>
      </c>
      <c r="D44" s="48">
        <f>IF(D62="x",VLOOKUP(MAX(0,D42),Tablas!$A$1:$D$10,4),VLOOKUP(MAX(0,D42),Tablas!$A$37:$D$46,4))</f>
        <v>0.27</v>
      </c>
      <c r="E44" s="48">
        <f>IF(E62="x",VLOOKUP(MAX(0,E42),Tablas!$A$1:$D$10,4),VLOOKUP(MAX(0,E42),Tablas!$A$49:$D$58,4))</f>
        <v>0.27</v>
      </c>
      <c r="F44" s="48">
        <f>IF(F62="x",VLOOKUP(MAX(0,F42),Tablas!$A$1:$D$10,4),VLOOKUP(MAX(0,F42),Tablas!$A$61:$D$70,4))</f>
        <v>0.27</v>
      </c>
      <c r="G44" s="48">
        <f>IF(G62="x",VLOOKUP(MAX(0,G42),Tablas!$A$1:$D$10,4),VLOOKUP(MAX(0,G42),Tablas!$A$73:$D$82,4))</f>
        <v>0.19</v>
      </c>
      <c r="H44" s="48">
        <f>IF(H62="x",VLOOKUP(MAX(0,H42),Tablas!$A$1:$D$10,4),VLOOKUP(MAX(0,H42),Tablas!$A$97:$D$106,4))</f>
        <v>0.23</v>
      </c>
      <c r="I44" s="48">
        <f>IF(I62="x",VLOOKUP(MAX(0,I42),Tablas!$A$1:$D$10,4),VLOOKUP(MAX(0,I42),Tablas!$A$97:$D$106,4))</f>
        <v>0.23</v>
      </c>
      <c r="J44" s="48">
        <f>IF(J62="x",VLOOKUP(MAX(0,J42),Tablas!$A$1:$D$10,4),VLOOKUP(MAX(0,J42),Tablas!$A$121:$D$130,4))</f>
        <v>0.23</v>
      </c>
      <c r="K44" s="48">
        <f>IF(K62="x",VLOOKUP(MAX(0,K42),Tablas!$A$1:$D$10,4),VLOOKUP(MAX(0,K42),Tablas!$A$121:$D$130,4))</f>
        <v>0.27</v>
      </c>
      <c r="L44" s="48">
        <f>IF(L62="x",VLOOKUP(MAX(0,L42),Tablas!$A$1:$D$10,4),VLOOKUP(MAX(0,L42),Tablas!$A$133:$D$142,4))</f>
        <v>0.27</v>
      </c>
      <c r="M44" s="48">
        <f>IF(M62="x",VLOOKUP(MAX(0,M42),Tablas!$A$1:$D$10,4),VLOOKUP(MAX(0,M42),Tablas!$A$1:$D$10,4))</f>
        <v>0.27</v>
      </c>
      <c r="N44" s="4"/>
    </row>
    <row r="45" spans="1:19" s="43" customFormat="1" x14ac:dyDescent="0.2">
      <c r="A45" s="41" t="s">
        <v>32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</row>
    <row r="46" spans="1:19" s="43" customFormat="1" x14ac:dyDescent="0.2">
      <c r="A46" s="41" t="s">
        <v>33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</row>
    <row r="47" spans="1:19" s="43" customFormat="1" x14ac:dyDescent="0.2">
      <c r="A47" s="41" t="s">
        <v>34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</row>
    <row r="48" spans="1:19" s="45" customFormat="1" x14ac:dyDescent="0.2">
      <c r="A48" s="44" t="s">
        <v>35</v>
      </c>
      <c r="B48" s="44">
        <f>B45+B46/3*2+B47/2</f>
        <v>0</v>
      </c>
      <c r="C48" s="44">
        <f>C45+C46/3*2+C47/2</f>
        <v>0</v>
      </c>
      <c r="D48" s="44">
        <f t="shared" ref="D48:M48" si="10">D45+D46/3*2+D47/2</f>
        <v>0</v>
      </c>
      <c r="E48" s="44">
        <f t="shared" si="10"/>
        <v>0</v>
      </c>
      <c r="F48" s="44">
        <f t="shared" si="10"/>
        <v>0</v>
      </c>
      <c r="G48" s="44">
        <f t="shared" si="10"/>
        <v>0</v>
      </c>
      <c r="H48" s="44">
        <f t="shared" si="10"/>
        <v>0</v>
      </c>
      <c r="I48" s="44">
        <f t="shared" si="10"/>
        <v>0</v>
      </c>
      <c r="J48" s="44">
        <f t="shared" si="10"/>
        <v>0</v>
      </c>
      <c r="K48" s="44">
        <f t="shared" si="10"/>
        <v>0</v>
      </c>
      <c r="L48" s="44">
        <f t="shared" si="10"/>
        <v>0</v>
      </c>
      <c r="M48" s="44">
        <f t="shared" si="10"/>
        <v>0</v>
      </c>
    </row>
    <row r="49" spans="1:14" s="45" customFormat="1" x14ac:dyDescent="0.2">
      <c r="A49" s="44" t="s">
        <v>36</v>
      </c>
      <c r="B49" s="44">
        <f t="shared" ref="B49:M49" si="11">SUM(B45:B47)-B48</f>
        <v>0</v>
      </c>
      <c r="C49" s="44">
        <f t="shared" si="11"/>
        <v>0</v>
      </c>
      <c r="D49" s="44">
        <f t="shared" si="11"/>
        <v>0</v>
      </c>
      <c r="E49" s="44">
        <f t="shared" si="11"/>
        <v>0</v>
      </c>
      <c r="F49" s="44">
        <f t="shared" si="11"/>
        <v>0</v>
      </c>
      <c r="G49" s="44">
        <f t="shared" si="11"/>
        <v>0</v>
      </c>
      <c r="H49" s="44">
        <f t="shared" si="11"/>
        <v>0</v>
      </c>
      <c r="I49" s="44">
        <f t="shared" si="11"/>
        <v>0</v>
      </c>
      <c r="J49" s="44">
        <f t="shared" si="11"/>
        <v>0</v>
      </c>
      <c r="K49" s="44">
        <f t="shared" si="11"/>
        <v>0</v>
      </c>
      <c r="L49" s="44">
        <f t="shared" si="11"/>
        <v>0</v>
      </c>
      <c r="M49" s="44">
        <f t="shared" si="11"/>
        <v>0</v>
      </c>
    </row>
    <row r="50" spans="1:14" s="45" customFormat="1" x14ac:dyDescent="0.2">
      <c r="A50" s="44" t="s">
        <v>37</v>
      </c>
      <c r="B50" s="44">
        <f>B48*(0.17+$B$71)</f>
        <v>0</v>
      </c>
      <c r="C50" s="44">
        <f>C48*(0.17+$B$71)</f>
        <v>0</v>
      </c>
      <c r="D50" s="44">
        <f>D48*(0.17+$B$71)</f>
        <v>0</v>
      </c>
      <c r="E50" s="44">
        <f>E48*(0.17+$B$71)</f>
        <v>0</v>
      </c>
      <c r="F50" s="44">
        <f>F48*(0.17+$B$71)</f>
        <v>0</v>
      </c>
      <c r="G50" s="44">
        <f>G48*(0.17+$B$71)</f>
        <v>0</v>
      </c>
      <c r="H50" s="44">
        <f>H48*(0.17+$B$71)</f>
        <v>0</v>
      </c>
      <c r="I50" s="44">
        <f>I48*(0.17+$B$71)</f>
        <v>0</v>
      </c>
      <c r="J50" s="44">
        <f>J48*(0.17+$B$71)</f>
        <v>0</v>
      </c>
      <c r="K50" s="44">
        <f>K48*(0.17+$B$71)</f>
        <v>0</v>
      </c>
      <c r="L50" s="44">
        <f>L48*(0.17+$B$71)</f>
        <v>0</v>
      </c>
      <c r="M50" s="44">
        <f>M48*(0.17+$B$71)</f>
        <v>0</v>
      </c>
    </row>
    <row r="51" spans="1:14" s="45" customFormat="1" x14ac:dyDescent="0.2">
      <c r="A51" s="44" t="s">
        <v>38</v>
      </c>
      <c r="B51" s="44">
        <f>B49*(0.17+$B$71)</f>
        <v>0</v>
      </c>
      <c r="C51" s="44">
        <f>C49*(0.17+$B$71)</f>
        <v>0</v>
      </c>
      <c r="D51" s="44">
        <f>D49*(0.17+$B$71)</f>
        <v>0</v>
      </c>
      <c r="E51" s="44">
        <f>E49*(0.17+$B$71)</f>
        <v>0</v>
      </c>
      <c r="F51" s="44">
        <f>F49*(0.17+$B$71)</f>
        <v>0</v>
      </c>
      <c r="G51" s="44">
        <f>G49*(0.17+$B$71)</f>
        <v>0</v>
      </c>
      <c r="H51" s="44">
        <f>H49*(0.17+$B$71)</f>
        <v>0</v>
      </c>
      <c r="I51" s="44">
        <f>I49*(0.17+$B$71)</f>
        <v>0</v>
      </c>
      <c r="J51" s="44">
        <f>J49*(0.17+$B$71)</f>
        <v>0</v>
      </c>
      <c r="K51" s="44">
        <f>K49*(0.17+$B$71)</f>
        <v>0</v>
      </c>
      <c r="L51" s="44">
        <f>L49*(0.17+$B$71)</f>
        <v>0</v>
      </c>
      <c r="M51" s="44">
        <f>M49*(0.17+$B$71)</f>
        <v>0</v>
      </c>
    </row>
    <row r="52" spans="1:14" s="43" customFormat="1" x14ac:dyDescent="0.2">
      <c r="A52" s="46"/>
      <c r="K52" s="47"/>
      <c r="L52" s="47"/>
      <c r="M52" s="47"/>
      <c r="N52" s="47"/>
    </row>
    <row r="53" spans="1:14" s="43" customFormat="1" x14ac:dyDescent="0.2">
      <c r="A53" s="46" t="s">
        <v>39</v>
      </c>
      <c r="B53" s="37">
        <f>B42+B48-B50</f>
        <v>90011.483166666643</v>
      </c>
      <c r="C53" s="37">
        <f>C42+SUM($B48:C48)-SUM($B50:C50)</f>
        <v>150300.8021666666</v>
      </c>
      <c r="D53" s="37">
        <f>D42+SUM($B48:D48)-SUM($B50:D50)</f>
        <v>237344.9678333333</v>
      </c>
      <c r="E53" s="37">
        <f>E42+SUM($B48:E48)-SUM($B50:E50)</f>
        <v>344278.25721111137</v>
      </c>
      <c r="F53" s="37">
        <f>F42+SUM($B48:F48)-SUM($B50:F50)</f>
        <v>385988.15742222243</v>
      </c>
      <c r="G53" s="37">
        <f>G42+SUM($B48:G48)-SUM($B50:G50)</f>
        <v>257088.15742222266</v>
      </c>
      <c r="H53" s="37">
        <f>H42+SUM($B48:H48)-SUM($B50:H50)</f>
        <v>389060.51680000033</v>
      </c>
      <c r="I53" s="37">
        <f>I42+SUM($B48:I48)-SUM($B50:I50)</f>
        <v>498693.375344445</v>
      </c>
      <c r="J53" s="37">
        <f>J42+SUM($B48:J48)-SUM($B50:J50)</f>
        <v>626589.22388888919</v>
      </c>
      <c r="K53" s="37">
        <f>K42+SUM($B48:K48)-SUM($B50:K50)</f>
        <v>799767.94743333384</v>
      </c>
      <c r="L53" s="37">
        <f>L42+SUM($B48:L48)-SUM($B50:L50)</f>
        <v>866454.03847777797</v>
      </c>
      <c r="M53" s="37">
        <f>M42+SUM($B48:M48)-SUM($B50:M50)</f>
        <v>862514.03285555588</v>
      </c>
      <c r="N53" s="4"/>
    </row>
    <row r="54" spans="1:14" s="43" customFormat="1" x14ac:dyDescent="0.2">
      <c r="A54" s="46" t="s">
        <v>40</v>
      </c>
      <c r="B54" s="38">
        <f>MAX(0,MIN(B48-B50,B53)*B44+B43)</f>
        <v>16931.94853833333</v>
      </c>
      <c r="C54" s="38">
        <f>MAX(0,MIN(SUM($B48:C48)-SUM($B50:C50),C53)*C44+C43)</f>
        <v>25838.912751666656</v>
      </c>
      <c r="D54" s="38">
        <f>MAX(0,MIN(SUM($B48:D48)-SUM($B50:D50),D53)*D44+D43)</f>
        <v>41969.685564999992</v>
      </c>
      <c r="E54" s="38">
        <f>MAX(0,MIN(SUM($B48:E48)-SUM($B50:E50),E53)*E44+E43)</f>
        <v>63470.521780333416</v>
      </c>
      <c r="F54" s="38">
        <f>MAX(0,MIN(SUM($B48:F48)-SUM($B50:F50),F53)*F44+F43)</f>
        <v>67361.042920666747</v>
      </c>
      <c r="G54" s="38">
        <f>MAX(0,MIN(SUM($B48:G48)-SUM($B50:G50),G53)*G44+G43)</f>
        <v>31836.399210222306</v>
      </c>
      <c r="H54" s="38">
        <f>MAX(0,MIN(SUM($B48:H48)-SUM($B50:H50),H53)*H44+H43)</f>
        <v>56030.229247333402</v>
      </c>
      <c r="I54" s="38">
        <f>MAX(0,MIN(SUM($B48:I48)-SUM($B50:I50),I53)*I44+I43)</f>
        <v>76466.688195889015</v>
      </c>
      <c r="J54" s="38">
        <f>MAX(0,MIN(SUM($B48:J48)-SUM($B50:J50),J53)*J44+J43)</f>
        <v>102838.72320000011</v>
      </c>
      <c r="K54" s="38">
        <f>MAX(0,MIN(SUM($B48:K48)-SUM($B50:K50),K53)*K44+K43)</f>
        <v>142225.82664033351</v>
      </c>
      <c r="L54" s="38">
        <f>MAX(0,MIN(SUM($B48:L48)-SUM($B50:L50),L53)*L44+L43)</f>
        <v>152859.91930566676</v>
      </c>
      <c r="M54" s="38">
        <f>MAX(0,MIN(SUM($B48:M48)-SUM($B50:M50),M53)*M44+M43)</f>
        <v>144424.96587100011</v>
      </c>
      <c r="N54" s="4"/>
    </row>
    <row r="55" spans="1:14" s="53" customFormat="1" ht="12.75" x14ac:dyDescent="0.25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1"/>
    </row>
    <row r="56" spans="1:14" x14ac:dyDescent="0.2">
      <c r="A56" s="109" t="s">
        <v>67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4"/>
    </row>
    <row r="57" spans="1:14" x14ac:dyDescent="0.2">
      <c r="A57" s="4" t="s">
        <v>0</v>
      </c>
      <c r="B57" s="11">
        <f>0+B56</f>
        <v>0</v>
      </c>
      <c r="C57" s="11">
        <f>B57+B58+C56</f>
        <v>16931.95</v>
      </c>
      <c r="D57" s="11">
        <f t="shared" ref="D57:M57" si="12">C57+C58+D56</f>
        <v>25838.91</v>
      </c>
      <c r="E57" s="11">
        <f t="shared" si="12"/>
        <v>41969.69</v>
      </c>
      <c r="F57" s="11">
        <f t="shared" si="12"/>
        <v>63470.520000000004</v>
      </c>
      <c r="G57" s="11">
        <f t="shared" si="12"/>
        <v>67361.040000000008</v>
      </c>
      <c r="H57" s="11">
        <f t="shared" si="12"/>
        <v>31836.400000000009</v>
      </c>
      <c r="I57" s="11">
        <f t="shared" si="12"/>
        <v>56030.23000000001</v>
      </c>
      <c r="J57" s="11">
        <f t="shared" si="12"/>
        <v>76466.69</v>
      </c>
      <c r="K57" s="11">
        <f t="shared" si="12"/>
        <v>102838.72</v>
      </c>
      <c r="L57" s="11">
        <f t="shared" si="12"/>
        <v>142225.83000000002</v>
      </c>
      <c r="M57" s="11">
        <f t="shared" si="12"/>
        <v>152859.92000000001</v>
      </c>
      <c r="N57" s="4"/>
    </row>
    <row r="58" spans="1:14" x14ac:dyDescent="0.2">
      <c r="A58" s="4" t="s">
        <v>20</v>
      </c>
      <c r="B58" s="11">
        <f>MIN(ROUND(B54-B57,2),B59)</f>
        <v>16931.95</v>
      </c>
      <c r="C58" s="11">
        <f>MAX(-SUM($B58:B58)-SUM($B56:C56),  IF(COUNTIF($B$62:B$62,"X")&gt;0,0,MIN(ROUND(C54-C57,2),C59)))</f>
        <v>8906.9599999999991</v>
      </c>
      <c r="D58" s="11">
        <f>MAX(-SUM($B58:C58)-SUM($B56:D56),  IF(COUNTIF($B$62:C$62,"X")&gt;0,0,MIN(ROUND(D54-D57,2),D59)))</f>
        <v>16130.78</v>
      </c>
      <c r="E58" s="11">
        <f>MAX(-SUM($B58:D58)-SUM($B56:E56),  IF(COUNTIF($B$62:D$62,"X")&gt;0,0,MIN(ROUND(E54-E57,2),E59)))</f>
        <v>21500.83</v>
      </c>
      <c r="F58" s="11">
        <f>MAX(-SUM($B58:E58)-SUM($B56:F56),  IF(COUNTIF($B$62:E$62,"X")&gt;0,0,MIN(ROUND(F54-F57,2),F59)))</f>
        <v>3890.52</v>
      </c>
      <c r="G58" s="11">
        <f>MAX(-SUM($B58:F58)-SUM($B56:G56),  IF(COUNTIF($B$62:F$62,"X")&gt;0,0,MIN(ROUND(G54-G57,2),G59)))</f>
        <v>-35524.639999999999</v>
      </c>
      <c r="H58" s="11">
        <f>MAX(-SUM($B58:G58)-SUM($B56:H56),  IF(COUNTIF($B$62:G$62,"X")&gt;0,0,MIN(ROUND(H54-H57,2),H59)))</f>
        <v>24193.83</v>
      </c>
      <c r="I58" s="11">
        <f>MAX(-SUM($B58:H58)-SUM($B56:I56),  IF(COUNTIF($B$62:H$62,"X")&gt;0,0,MIN(ROUND(I54-I57,2),I59)))</f>
        <v>20436.46</v>
      </c>
      <c r="J58" s="11">
        <f>MAX(-SUM($B58:I58)-SUM($B56:J56),  IF(COUNTIF($B$62:I$62,"X")&gt;0,0,MIN(ROUND(J54-J57,2),J59)))</f>
        <v>26372.03</v>
      </c>
      <c r="K58" s="11">
        <f>MAX(-SUM($B58:J58)-SUM($B56:K56),  IF(COUNTIF($B$62:J$62,"X")&gt;0,0,MIN(ROUND(K54-K57,2),K59)))</f>
        <v>39387.11</v>
      </c>
      <c r="L58" s="11">
        <f>MAX(-SUM($B58:K58)-SUM($B56:L56),  IF(COUNTIF($B$62:K$62,"X")&gt;0,0,MIN(ROUND(L54-L57,2),L59)))</f>
        <v>10634.09</v>
      </c>
      <c r="M58" s="11">
        <f>MAX(-SUM($B58:L58)-SUM($B56:M56),  IF(COUNTIF($B$62:L$62,"X")&gt;0,0,MIN(ROUND(M54-M57,2),M59)))</f>
        <v>-8434.9500000000007</v>
      </c>
      <c r="N58" s="8">
        <f>SUM(B58:M58)</f>
        <v>144424.97</v>
      </c>
    </row>
    <row r="59" spans="1:14" s="26" customFormat="1" x14ac:dyDescent="0.2">
      <c r="A59" s="24" t="s">
        <v>26</v>
      </c>
      <c r="B59" s="25">
        <f>(SUM(B3:B5,,B62:B64)) *0.35</f>
        <v>104195.20416666665</v>
      </c>
      <c r="C59" s="25">
        <f>(SUM(C3:C5,C62:C64)) *0.35</f>
        <v>93766.399999999994</v>
      </c>
      <c r="D59" s="25">
        <f>(SUM(D3:D5,D62:D64)) *0.35</f>
        <v>97749.166666666657</v>
      </c>
      <c r="E59" s="25">
        <f>(SUM(E3:E5,E62:E64)) *0.35</f>
        <v>165792.66666666666</v>
      </c>
      <c r="F59" s="25">
        <f>(SUM(F3:F5,F62:F64)) *0.35</f>
        <v>88371.237499999988</v>
      </c>
      <c r="G59" s="25">
        <f>(SUM(G3:G5,G62:G64)) *0.35</f>
        <v>53382.524999999994</v>
      </c>
      <c r="H59" s="25">
        <f>(SUM(H3:H5,H62:H64)) *0.35</f>
        <v>129858.51666666665</v>
      </c>
      <c r="I59" s="25">
        <f>(SUM(I3:I5,I62:I64)) *0.35</f>
        <v>117196.24583333333</v>
      </c>
      <c r="J59" s="25">
        <f>(SUM(J3:J5,J62:J64)) *0.35</f>
        <v>120818.04583333334</v>
      </c>
      <c r="K59" s="25">
        <f>(SUM(K3:K5,K62:K64)) *0.35</f>
        <v>132063.37083333332</v>
      </c>
      <c r="L59" s="25">
        <f>(SUM(L3:L5,L62:L64)) *0.35</f>
        <v>110588.50833333333</v>
      </c>
      <c r="M59" s="25">
        <f>(SUM(M3:M5,M62:M64)) *0.35</f>
        <v>69683.862499999988</v>
      </c>
    </row>
    <row r="60" spans="1:14" s="26" customFormat="1" x14ac:dyDescent="0.2">
      <c r="A60" s="24" t="s">
        <v>46</v>
      </c>
      <c r="B60" s="25">
        <f t="shared" ref="B60:M60" si="13">MAX(0,ROUND(B43-B57,2)-B58)</f>
        <v>0</v>
      </c>
      <c r="C60" s="25">
        <f t="shared" si="13"/>
        <v>0</v>
      </c>
      <c r="D60" s="25">
        <f t="shared" si="13"/>
        <v>0</v>
      </c>
      <c r="E60" s="25">
        <f t="shared" si="13"/>
        <v>0</v>
      </c>
      <c r="F60" s="25">
        <f t="shared" si="13"/>
        <v>0</v>
      </c>
      <c r="G60" s="25">
        <f t="shared" si="13"/>
        <v>0</v>
      </c>
      <c r="H60" s="25">
        <f t="shared" si="13"/>
        <v>0</v>
      </c>
      <c r="I60" s="25">
        <f t="shared" si="13"/>
        <v>0</v>
      </c>
      <c r="J60" s="25">
        <f t="shared" si="13"/>
        <v>0</v>
      </c>
      <c r="K60" s="25">
        <f t="shared" si="13"/>
        <v>0</v>
      </c>
      <c r="L60" s="25">
        <f t="shared" si="13"/>
        <v>0</v>
      </c>
      <c r="M60" s="25">
        <f t="shared" si="13"/>
        <v>0</v>
      </c>
    </row>
    <row r="61" spans="1:14" s="26" customFormat="1" x14ac:dyDescent="0.2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</row>
    <row r="62" spans="1:14" s="29" customFormat="1" x14ac:dyDescent="0.2">
      <c r="A62" s="27" t="s">
        <v>60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4" x14ac:dyDescent="0.2">
      <c r="A63" s="36" t="s">
        <v>29</v>
      </c>
      <c r="B63" s="100">
        <v>20000</v>
      </c>
      <c r="C63" s="100">
        <v>0</v>
      </c>
      <c r="D63" s="54">
        <v>0</v>
      </c>
      <c r="E63" s="54">
        <v>0</v>
      </c>
      <c r="F63" s="54">
        <v>0</v>
      </c>
      <c r="G63" s="54"/>
      <c r="H63" s="16"/>
      <c r="I63" s="15"/>
      <c r="J63" s="17"/>
      <c r="K63" s="17"/>
      <c r="L63" s="17"/>
      <c r="M63" s="17"/>
      <c r="N63" s="3"/>
    </row>
    <row r="64" spans="1:14" x14ac:dyDescent="0.2">
      <c r="A64" s="36" t="s">
        <v>24</v>
      </c>
      <c r="B64" s="100">
        <v>0</v>
      </c>
      <c r="C64" s="100">
        <v>0</v>
      </c>
      <c r="D64" s="54">
        <v>0</v>
      </c>
      <c r="E64" s="54">
        <v>200000</v>
      </c>
      <c r="F64" s="54">
        <v>0</v>
      </c>
      <c r="G64" s="54"/>
      <c r="H64" s="16"/>
      <c r="I64" s="16"/>
      <c r="J64" s="16"/>
      <c r="K64" s="16"/>
      <c r="L64" s="17"/>
      <c r="M64" s="17"/>
      <c r="N64" s="3"/>
    </row>
    <row r="65" spans="1:17" s="34" customFormat="1" x14ac:dyDescent="0.2">
      <c r="A65" s="32" t="str">
        <f>A63&amp;" (Ap)"</f>
        <v>Prorrateo Vacaciones (Ap)</v>
      </c>
      <c r="B65" s="104">
        <f>MIN(B$3+B$63,B$78)*(0.17+$B$71)-B$9</f>
        <v>3400</v>
      </c>
      <c r="C65" s="104">
        <f t="shared" ref="C65:M65" si="14">MIN(C$3+C$63,C$78)*(0.17+$B$71)-C$9</f>
        <v>0</v>
      </c>
      <c r="D65" s="104">
        <f t="shared" si="14"/>
        <v>0</v>
      </c>
      <c r="E65" s="104">
        <f t="shared" si="14"/>
        <v>0</v>
      </c>
      <c r="F65" s="104">
        <f t="shared" si="14"/>
        <v>0</v>
      </c>
      <c r="G65" s="104">
        <f t="shared" si="14"/>
        <v>0</v>
      </c>
      <c r="H65" s="104">
        <f t="shared" si="14"/>
        <v>0</v>
      </c>
      <c r="I65" s="104">
        <f t="shared" si="14"/>
        <v>0</v>
      </c>
      <c r="J65" s="104">
        <f t="shared" si="14"/>
        <v>0</v>
      </c>
      <c r="K65" s="104">
        <f t="shared" si="14"/>
        <v>0</v>
      </c>
      <c r="L65" s="104">
        <f t="shared" si="14"/>
        <v>0</v>
      </c>
      <c r="M65" s="104">
        <f t="shared" si="14"/>
        <v>0</v>
      </c>
      <c r="N65" s="33"/>
    </row>
    <row r="66" spans="1:17" s="34" customFormat="1" x14ac:dyDescent="0.2">
      <c r="A66" s="32" t="str">
        <f>A64&amp;" (Ap)"</f>
        <v>Prorrateo Premios (Ap)</v>
      </c>
      <c r="B66" s="104">
        <f>MIN(B$3+B$63+B$64,B$78)*(0.17+$B$71)-B$9-B$65</f>
        <v>0</v>
      </c>
      <c r="C66" s="104">
        <f t="shared" ref="C66:M66" si="15">MIN(C$3+C$63+C$64,C$78)*(0.17+$B$71)-C$9-C$65</f>
        <v>0</v>
      </c>
      <c r="D66" s="104">
        <f t="shared" si="15"/>
        <v>0</v>
      </c>
      <c r="E66" s="104">
        <f t="shared" si="15"/>
        <v>17769.586599999995</v>
      </c>
      <c r="F66" s="104">
        <f t="shared" si="15"/>
        <v>0</v>
      </c>
      <c r="G66" s="104">
        <f t="shared" si="15"/>
        <v>0</v>
      </c>
      <c r="H66" s="104">
        <f t="shared" si="15"/>
        <v>0</v>
      </c>
      <c r="I66" s="104">
        <f t="shared" si="15"/>
        <v>0</v>
      </c>
      <c r="J66" s="104">
        <f t="shared" si="15"/>
        <v>0</v>
      </c>
      <c r="K66" s="104">
        <f t="shared" si="15"/>
        <v>0</v>
      </c>
      <c r="L66" s="104">
        <f t="shared" si="15"/>
        <v>0</v>
      </c>
      <c r="M66" s="104">
        <f t="shared" si="15"/>
        <v>0</v>
      </c>
      <c r="N66" s="33"/>
    </row>
    <row r="67" spans="1:17" x14ac:dyDescent="0.2">
      <c r="A67" s="30"/>
      <c r="B67" s="55"/>
      <c r="C67" s="55"/>
      <c r="D67" s="55"/>
      <c r="E67" s="55"/>
      <c r="F67" s="73"/>
      <c r="J67" s="75"/>
    </row>
    <row r="68" spans="1:17" x14ac:dyDescent="0.2">
      <c r="A68" s="101" t="s">
        <v>65</v>
      </c>
      <c r="B68" s="105">
        <v>0</v>
      </c>
      <c r="C68" s="22">
        <f t="shared" ref="C68:M70" si="16">B68</f>
        <v>0</v>
      </c>
      <c r="D68" s="22">
        <f t="shared" si="16"/>
        <v>0</v>
      </c>
      <c r="E68" s="22">
        <f t="shared" si="16"/>
        <v>0</v>
      </c>
      <c r="F68" s="22">
        <f t="shared" si="16"/>
        <v>0</v>
      </c>
      <c r="G68" s="22">
        <f t="shared" si="16"/>
        <v>0</v>
      </c>
      <c r="H68" s="22">
        <f t="shared" si="16"/>
        <v>0</v>
      </c>
      <c r="I68" s="22">
        <f t="shared" si="16"/>
        <v>0</v>
      </c>
      <c r="J68" s="22">
        <f t="shared" si="16"/>
        <v>0</v>
      </c>
      <c r="K68" s="22">
        <f t="shared" si="16"/>
        <v>0</v>
      </c>
      <c r="L68" s="22">
        <f t="shared" si="16"/>
        <v>0</v>
      </c>
      <c r="M68" s="22">
        <f t="shared" si="16"/>
        <v>0</v>
      </c>
      <c r="N68" s="23"/>
    </row>
    <row r="69" spans="1:17" x14ac:dyDescent="0.2">
      <c r="A69" s="30" t="s">
        <v>19</v>
      </c>
      <c r="B69" s="105">
        <v>2</v>
      </c>
      <c r="C69" s="22">
        <f t="shared" si="16"/>
        <v>2</v>
      </c>
      <c r="D69" s="22">
        <f t="shared" si="16"/>
        <v>2</v>
      </c>
      <c r="E69" s="22">
        <f t="shared" si="16"/>
        <v>2</v>
      </c>
      <c r="F69" s="22">
        <f t="shared" si="16"/>
        <v>2</v>
      </c>
      <c r="G69" s="22">
        <f t="shared" si="16"/>
        <v>2</v>
      </c>
      <c r="H69" s="22">
        <f t="shared" si="16"/>
        <v>2</v>
      </c>
      <c r="I69" s="22">
        <f t="shared" si="16"/>
        <v>2</v>
      </c>
      <c r="J69" s="22">
        <f t="shared" si="16"/>
        <v>2</v>
      </c>
      <c r="K69" s="22">
        <f t="shared" si="16"/>
        <v>2</v>
      </c>
      <c r="L69" s="22">
        <f t="shared" si="16"/>
        <v>2</v>
      </c>
      <c r="M69" s="22">
        <f t="shared" si="16"/>
        <v>2</v>
      </c>
      <c r="N69" s="23"/>
    </row>
    <row r="70" spans="1:17" x14ac:dyDescent="0.2">
      <c r="A70" s="96" t="s">
        <v>64</v>
      </c>
      <c r="B70" s="105">
        <v>0</v>
      </c>
      <c r="C70" s="22">
        <f t="shared" si="16"/>
        <v>0</v>
      </c>
      <c r="D70" s="22">
        <f t="shared" si="16"/>
        <v>0</v>
      </c>
      <c r="E70" s="22">
        <f t="shared" si="16"/>
        <v>0</v>
      </c>
      <c r="F70" s="22">
        <f t="shared" si="16"/>
        <v>0</v>
      </c>
      <c r="G70" s="22">
        <f t="shared" si="16"/>
        <v>0</v>
      </c>
      <c r="H70" s="22">
        <f t="shared" si="16"/>
        <v>0</v>
      </c>
      <c r="I70" s="22">
        <f t="shared" si="16"/>
        <v>0</v>
      </c>
      <c r="J70" s="22">
        <f t="shared" si="16"/>
        <v>0</v>
      </c>
      <c r="K70" s="22">
        <f t="shared" si="16"/>
        <v>0</v>
      </c>
      <c r="L70" s="22">
        <f t="shared" si="16"/>
        <v>0</v>
      </c>
      <c r="M70" s="22">
        <f t="shared" si="16"/>
        <v>0</v>
      </c>
      <c r="N70" s="23"/>
    </row>
    <row r="71" spans="1:17" x14ac:dyDescent="0.2">
      <c r="A71" s="49" t="s">
        <v>41</v>
      </c>
      <c r="B71" s="50">
        <v>0</v>
      </c>
      <c r="F71" s="58"/>
      <c r="J71" s="12"/>
      <c r="K71" s="12"/>
      <c r="L71" s="12"/>
      <c r="M71" s="12"/>
    </row>
    <row r="73" spans="1:17" x14ac:dyDescent="0.2">
      <c r="B73" s="58"/>
    </row>
    <row r="74" spans="1:17" s="79" customFormat="1" ht="12.75" x14ac:dyDescent="0.25">
      <c r="A74" s="84" t="s">
        <v>57</v>
      </c>
      <c r="B74" s="84">
        <f>SUM(B3:B4,B63:B64)</f>
        <v>276339</v>
      </c>
      <c r="C74" s="84">
        <f>SUM(C3:C4,C63:C64)</f>
        <v>247296</v>
      </c>
      <c r="D74" s="84">
        <f>SUM(D3:D4,D63:D64)</f>
        <v>257800</v>
      </c>
      <c r="E74" s="84">
        <f>SUM(E3:E4,E63:E64)</f>
        <v>452640</v>
      </c>
      <c r="F74" s="84">
        <f>SUM(F3:F4,F63:F64)</f>
        <v>233067</v>
      </c>
      <c r="G74" s="84">
        <f>SUM(G3:G4,G63:G64)</f>
        <v>256450</v>
      </c>
      <c r="H74" s="84">
        <f>SUM(H3:H4,H63:H64)</f>
        <v>342484</v>
      </c>
      <c r="I74" s="84">
        <f>SUM(I3:I4,I63:I64)</f>
        <v>309089</v>
      </c>
      <c r="J74" s="84">
        <f>SUM(J3:J4,J63:J64)</f>
        <v>318641</v>
      </c>
      <c r="K74" s="84">
        <f>SUM(K3:K4,K63:K64)</f>
        <v>348299</v>
      </c>
      <c r="L74" s="84">
        <f>SUM(L3:L4,L63:L64)</f>
        <v>291662</v>
      </c>
      <c r="M74" s="84">
        <f>SUM(M3:M4,M63:M64)</f>
        <v>333278</v>
      </c>
      <c r="O74" s="85"/>
      <c r="P74" s="85"/>
      <c r="Q74" s="24"/>
    </row>
    <row r="75" spans="1:17" s="79" customFormat="1" x14ac:dyDescent="0.2">
      <c r="A75" s="84" t="s">
        <v>58</v>
      </c>
      <c r="B75" s="84">
        <f>AVERAGE($B74:B74)</f>
        <v>276339</v>
      </c>
      <c r="C75" s="84">
        <f>AVERAGE($B74:C74)</f>
        <v>261817.5</v>
      </c>
      <c r="D75" s="84">
        <f>AVERAGE($B74:D74)</f>
        <v>260478.33333333334</v>
      </c>
      <c r="E75" s="84">
        <f>AVERAGE($B74:E74)</f>
        <v>308518.75</v>
      </c>
      <c r="F75" s="84">
        <f>AVERAGE($B74:F74)</f>
        <v>293428.40000000002</v>
      </c>
      <c r="G75" s="86">
        <f>AVERAGE($G74:G74)</f>
        <v>256450</v>
      </c>
      <c r="H75" s="84">
        <f>AVERAGE($G74:H74)</f>
        <v>299467</v>
      </c>
      <c r="I75" s="84">
        <f>AVERAGE($G74:I74)</f>
        <v>302674.33333333331</v>
      </c>
      <c r="J75" s="84">
        <f>AVERAGE($G74:J74)</f>
        <v>306666</v>
      </c>
      <c r="K75" s="84">
        <f>AVERAGE($G74:K74)</f>
        <v>314992.59999999998</v>
      </c>
      <c r="L75" s="84">
        <f>AVERAGE($G74:L74)</f>
        <v>311104.16666666669</v>
      </c>
      <c r="M75" s="84">
        <f>AVERAGE($G74:M74)</f>
        <v>314271.85714285716</v>
      </c>
      <c r="O75" s="87"/>
      <c r="P75" s="88"/>
      <c r="Q75" s="89"/>
    </row>
    <row r="76" spans="1:17" s="79" customFormat="1" x14ac:dyDescent="0.2">
      <c r="A76" s="84" t="s">
        <v>59</v>
      </c>
      <c r="B76" s="84">
        <f>MIN(B74:B75)</f>
        <v>276339</v>
      </c>
      <c r="C76" s="84">
        <f t="shared" ref="C76:M76" si="17">MIN(C74:C75)</f>
        <v>247296</v>
      </c>
      <c r="D76" s="84">
        <f t="shared" si="17"/>
        <v>257800</v>
      </c>
      <c r="E76" s="84">
        <f t="shared" si="17"/>
        <v>308518.75</v>
      </c>
      <c r="F76" s="84">
        <f t="shared" si="17"/>
        <v>233067</v>
      </c>
      <c r="G76" s="84">
        <f t="shared" si="17"/>
        <v>256450</v>
      </c>
      <c r="H76" s="84">
        <f t="shared" si="17"/>
        <v>299467</v>
      </c>
      <c r="I76" s="84">
        <f t="shared" si="17"/>
        <v>302674.33333333331</v>
      </c>
      <c r="J76" s="84">
        <f t="shared" si="17"/>
        <v>306666</v>
      </c>
      <c r="K76" s="84">
        <f t="shared" si="17"/>
        <v>314992.59999999998</v>
      </c>
      <c r="L76" s="84">
        <f t="shared" si="17"/>
        <v>291662</v>
      </c>
      <c r="M76" s="84">
        <f t="shared" si="17"/>
        <v>314271.85714285716</v>
      </c>
      <c r="O76" s="87"/>
      <c r="P76" s="88"/>
      <c r="Q76" s="89"/>
    </row>
    <row r="78" spans="1:17" x14ac:dyDescent="0.2">
      <c r="A78" s="106" t="s">
        <v>66</v>
      </c>
      <c r="B78" s="102">
        <v>318103.83</v>
      </c>
      <c r="C78" s="84">
        <f>B78</f>
        <v>318103.83</v>
      </c>
      <c r="D78" s="102">
        <v>357166.98</v>
      </c>
      <c r="E78" s="84">
        <f>D78</f>
        <v>357166.98</v>
      </c>
      <c r="F78" s="84">
        <f>E78</f>
        <v>357166.98</v>
      </c>
      <c r="G78" s="102">
        <v>410742.03</v>
      </c>
      <c r="H78" s="84">
        <f t="shared" ref="H78:M78" si="18">G78</f>
        <v>410742.03</v>
      </c>
      <c r="I78" s="84">
        <f t="shared" si="18"/>
        <v>410742.03</v>
      </c>
      <c r="J78" s="102">
        <f>G78*1.15</f>
        <v>472353.3345</v>
      </c>
      <c r="K78" s="84">
        <f t="shared" si="18"/>
        <v>472353.3345</v>
      </c>
      <c r="L78" s="84">
        <f t="shared" si="18"/>
        <v>472353.3345</v>
      </c>
      <c r="M78" s="102">
        <f>J78*1.15</f>
        <v>543206.33467499993</v>
      </c>
    </row>
  </sheetData>
  <conditionalFormatting sqref="A62 E62:J62">
    <cfRule type="cellIs" dxfId="8" priority="3" stopIfTrue="1" operator="equal">
      <formula>"x"</formula>
    </cfRule>
  </conditionalFormatting>
  <conditionalFormatting sqref="K62:M62">
    <cfRule type="cellIs" dxfId="7" priority="2" stopIfTrue="1" operator="equal">
      <formula>"x"</formula>
    </cfRule>
  </conditionalFormatting>
  <conditionalFormatting sqref="B62:D62">
    <cfRule type="cellIs" dxfId="6" priority="1" stopIfTrue="1" operator="equal">
      <formula>"x"</formula>
    </cfRule>
  </conditionalFormatting>
  <pageMargins left="0.19685039370078741" right="0.19685039370078741" top="0.74803149606299213" bottom="0.74803149606299213" header="0.31496062992125984" footer="0.31496062992125984"/>
  <pageSetup paperSize="9" scale="91" orientation="landscape" r:id="rId1"/>
  <headerFooter>
    <oddHeader>&amp;L&amp;F&amp;C&amp;A&amp;R&amp;D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zoomScaleNormal="100" workbookViewId="0">
      <pane xSplit="1" ySplit="2" topLeftCell="B3" activePane="bottomRight" state="frozen"/>
      <selection activeCell="J4" sqref="J4"/>
      <selection pane="topRight" activeCell="J4" sqref="J4"/>
      <selection pane="bottomLeft" activeCell="J4" sqref="J4"/>
      <selection pane="bottomRight" activeCell="A29" sqref="A29"/>
    </sheetView>
  </sheetViews>
  <sheetFormatPr baseColWidth="10" defaultColWidth="11.42578125" defaultRowHeight="11.25" x14ac:dyDescent="0.2"/>
  <cols>
    <col min="1" max="1" width="31.42578125" style="4" customWidth="1"/>
    <col min="2" max="2" width="11.42578125" style="5" bestFit="1" customWidth="1"/>
    <col min="3" max="3" width="12.42578125" style="5" customWidth="1"/>
    <col min="4" max="5" width="11.140625" style="5" bestFit="1" customWidth="1"/>
    <col min="6" max="6" width="14.85546875" style="5" customWidth="1"/>
    <col min="7" max="7" width="11.42578125" style="5" bestFit="1" customWidth="1"/>
    <col min="8" max="8" width="11.42578125" style="2" bestFit="1" customWidth="1"/>
    <col min="9" max="9" width="11.42578125" style="5" bestFit="1" customWidth="1"/>
    <col min="10" max="12" width="11.42578125" style="13" bestFit="1" customWidth="1"/>
    <col min="13" max="13" width="12.7109375" style="13" bestFit="1" customWidth="1"/>
    <col min="14" max="14" width="12.140625" style="5" bestFit="1" customWidth="1"/>
    <col min="15" max="16384" width="11.42578125" style="5"/>
  </cols>
  <sheetData>
    <row r="1" spans="1:19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O1" s="4"/>
      <c r="P1" s="58"/>
      <c r="Q1" s="58"/>
      <c r="S1" s="58"/>
    </row>
    <row r="2" spans="1:19" x14ac:dyDescent="0.2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13</v>
      </c>
      <c r="I2" s="6" t="s">
        <v>14</v>
      </c>
      <c r="J2" s="14" t="s">
        <v>15</v>
      </c>
      <c r="K2" s="14" t="s">
        <v>16</v>
      </c>
      <c r="L2" s="14" t="s">
        <v>17</v>
      </c>
      <c r="M2" s="14" t="s">
        <v>18</v>
      </c>
      <c r="N2" s="7" t="s">
        <v>23</v>
      </c>
    </row>
    <row r="3" spans="1:19" x14ac:dyDescent="0.2">
      <c r="A3" s="4" t="s">
        <v>7</v>
      </c>
      <c r="B3" s="100">
        <v>200000</v>
      </c>
      <c r="C3" s="100">
        <v>200000</v>
      </c>
      <c r="D3" s="100">
        <f>C3*1.07</f>
        <v>214000</v>
      </c>
      <c r="E3" s="100">
        <f t="shared" ref="E3:M3" si="0">D3*1.07</f>
        <v>228980</v>
      </c>
      <c r="F3" s="100">
        <f t="shared" si="0"/>
        <v>245008.6</v>
      </c>
      <c r="G3" s="100">
        <f t="shared" si="0"/>
        <v>262159.20200000005</v>
      </c>
      <c r="H3" s="100">
        <f t="shared" si="0"/>
        <v>280510.3461400001</v>
      </c>
      <c r="I3" s="100">
        <f t="shared" si="0"/>
        <v>300146.07036980015</v>
      </c>
      <c r="J3" s="100">
        <f t="shared" si="0"/>
        <v>321156.29529568617</v>
      </c>
      <c r="K3" s="100">
        <f t="shared" si="0"/>
        <v>343637.23596638424</v>
      </c>
      <c r="L3" s="100">
        <f t="shared" si="0"/>
        <v>367691.84248403116</v>
      </c>
      <c r="M3" s="100">
        <f t="shared" si="0"/>
        <v>393430.27145791339</v>
      </c>
      <c r="N3" s="8">
        <f>SUM(B3:M3)</f>
        <v>3356719.8637138153</v>
      </c>
      <c r="O3" s="3"/>
      <c r="P3" s="3"/>
      <c r="Q3" s="58"/>
    </row>
    <row r="4" spans="1:19" x14ac:dyDescent="0.2">
      <c r="A4" s="77" t="s">
        <v>44</v>
      </c>
      <c r="B4" s="100">
        <v>0</v>
      </c>
      <c r="C4" s="100">
        <v>0</v>
      </c>
      <c r="D4" s="64">
        <v>0</v>
      </c>
      <c r="E4" s="64">
        <v>0</v>
      </c>
      <c r="F4" s="64">
        <v>0</v>
      </c>
      <c r="G4" s="64">
        <v>0</v>
      </c>
      <c r="H4" s="64">
        <v>0</v>
      </c>
      <c r="I4" s="64">
        <v>0</v>
      </c>
      <c r="J4" s="64">
        <v>0</v>
      </c>
      <c r="K4" s="64">
        <v>0</v>
      </c>
      <c r="L4" s="64">
        <v>0</v>
      </c>
      <c r="M4" s="64">
        <v>0</v>
      </c>
      <c r="N4" s="8">
        <f t="shared" ref="N4:N39" si="1">SUM(B4:M4)</f>
        <v>0</v>
      </c>
      <c r="P4" s="60"/>
    </row>
    <row r="5" spans="1:19" x14ac:dyDescent="0.2">
      <c r="A5" s="35" t="s">
        <v>30</v>
      </c>
      <c r="B5" s="4">
        <f>B3/12</f>
        <v>16666.666666666668</v>
      </c>
      <c r="C5" s="4">
        <f t="shared" ref="C5:F5" si="2">C3/12</f>
        <v>16666.666666666668</v>
      </c>
      <c r="D5" s="4">
        <f t="shared" si="2"/>
        <v>17833.333333333332</v>
      </c>
      <c r="E5" s="4">
        <f t="shared" si="2"/>
        <v>19081.666666666668</v>
      </c>
      <c r="F5" s="4">
        <f t="shared" si="2"/>
        <v>20417.383333333335</v>
      </c>
      <c r="G5" s="107">
        <f>-SUM(B5:F5)</f>
        <v>-90665.716666666674</v>
      </c>
      <c r="H5" s="4">
        <f t="shared" ref="H5:L6" si="3">H3/12</f>
        <v>23375.86217833334</v>
      </c>
      <c r="I5" s="4">
        <f t="shared" si="3"/>
        <v>25012.172530816679</v>
      </c>
      <c r="J5" s="4">
        <f t="shared" si="3"/>
        <v>26763.024607973846</v>
      </c>
      <c r="K5" s="4">
        <f t="shared" si="3"/>
        <v>28636.436330532018</v>
      </c>
      <c r="L5" s="4">
        <f t="shared" si="3"/>
        <v>30640.986873669262</v>
      </c>
      <c r="M5" s="107">
        <f>-SUM(H5:L5)</f>
        <v>-134428.48252132515</v>
      </c>
      <c r="N5" s="8">
        <f t="shared" si="1"/>
        <v>0</v>
      </c>
    </row>
    <row r="6" spans="1:19" x14ac:dyDescent="0.2">
      <c r="A6" s="94" t="s">
        <v>62</v>
      </c>
      <c r="B6" s="54"/>
      <c r="C6" s="54"/>
      <c r="D6" s="54"/>
      <c r="E6" s="54"/>
      <c r="F6" s="54"/>
      <c r="G6" s="92">
        <f>MAX(B3:G3)/2</f>
        <v>131079.60100000002</v>
      </c>
      <c r="H6" s="54">
        <f t="shared" si="3"/>
        <v>0</v>
      </c>
      <c r="I6" s="54">
        <f t="shared" si="3"/>
        <v>0</v>
      </c>
      <c r="J6" s="54">
        <f t="shared" si="3"/>
        <v>0</v>
      </c>
      <c r="K6" s="54">
        <f t="shared" si="3"/>
        <v>0</v>
      </c>
      <c r="L6" s="54">
        <f t="shared" si="3"/>
        <v>0</v>
      </c>
      <c r="M6" s="92">
        <f>MAX(H3:M3)/2</f>
        <v>196715.13572895669</v>
      </c>
      <c r="N6" s="8">
        <f t="shared" si="1"/>
        <v>327794.73672895669</v>
      </c>
    </row>
    <row r="7" spans="1:19" s="71" customFormat="1" x14ac:dyDescent="0.2">
      <c r="A7" s="69" t="s">
        <v>63</v>
      </c>
      <c r="B7" s="90"/>
      <c r="C7" s="90"/>
      <c r="D7" s="90"/>
      <c r="E7" s="90"/>
      <c r="F7" s="90"/>
      <c r="G7" s="93">
        <f>IF(G74&lt;=Tablas!$J$3,-G6,0)</f>
        <v>-131079.60100000002</v>
      </c>
      <c r="H7" s="90"/>
      <c r="I7" s="90"/>
      <c r="J7" s="90"/>
      <c r="K7" s="90"/>
      <c r="L7" s="90"/>
      <c r="M7" s="93">
        <f>IF(M74&lt;=Tablas!$J$3,-M6,0)</f>
        <v>0</v>
      </c>
      <c r="N7" s="70">
        <f t="shared" si="1"/>
        <v>-131079.60100000002</v>
      </c>
      <c r="P7" s="72"/>
      <c r="Q7" s="72"/>
    </row>
    <row r="8" spans="1:19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9" x14ac:dyDescent="0.2">
      <c r="A9" s="77" t="s">
        <v>47</v>
      </c>
      <c r="B9" s="104">
        <f>MIN(B$3,B$78)*(0.17+$B$71)</f>
        <v>34000</v>
      </c>
      <c r="C9" s="104">
        <f t="shared" ref="C9:M9" si="4">MIN(C$3,C$78)*(0.17+$B$71)</f>
        <v>34000</v>
      </c>
      <c r="D9" s="104">
        <f t="shared" si="4"/>
        <v>36380</v>
      </c>
      <c r="E9" s="104">
        <f t="shared" si="4"/>
        <v>38926.600000000006</v>
      </c>
      <c r="F9" s="104">
        <f t="shared" si="4"/>
        <v>41651.462000000007</v>
      </c>
      <c r="G9" s="104">
        <f t="shared" si="4"/>
        <v>44567.064340000012</v>
      </c>
      <c r="H9" s="104">
        <f t="shared" si="4"/>
        <v>47686.758843800017</v>
      </c>
      <c r="I9" s="104">
        <f t="shared" si="4"/>
        <v>51024.831962866032</v>
      </c>
      <c r="J9" s="104">
        <f t="shared" si="4"/>
        <v>54596.570200266651</v>
      </c>
      <c r="K9" s="104">
        <f t="shared" si="4"/>
        <v>58418.330114285323</v>
      </c>
      <c r="L9" s="104">
        <f t="shared" si="4"/>
        <v>62507.613222285305</v>
      </c>
      <c r="M9" s="104">
        <f t="shared" si="4"/>
        <v>66883.146147845284</v>
      </c>
      <c r="N9" s="8">
        <f t="shared" si="1"/>
        <v>570642.37683134864</v>
      </c>
    </row>
    <row r="10" spans="1:19" x14ac:dyDescent="0.2">
      <c r="A10" s="40" t="s">
        <v>31</v>
      </c>
      <c r="B10" s="104">
        <f>B9/12</f>
        <v>2833.3333333333335</v>
      </c>
      <c r="C10" s="104">
        <f t="shared" ref="C10:M10" si="5">C9/12</f>
        <v>2833.3333333333335</v>
      </c>
      <c r="D10" s="104">
        <f t="shared" si="5"/>
        <v>3031.6666666666665</v>
      </c>
      <c r="E10" s="104">
        <f t="shared" si="5"/>
        <v>3243.8833333333337</v>
      </c>
      <c r="F10" s="104">
        <f t="shared" si="5"/>
        <v>3470.9551666666671</v>
      </c>
      <c r="G10" s="104">
        <f t="shared" si="5"/>
        <v>3713.9220283333343</v>
      </c>
      <c r="H10" s="104">
        <f t="shared" si="5"/>
        <v>3973.8965703166682</v>
      </c>
      <c r="I10" s="104">
        <f t="shared" si="5"/>
        <v>4252.0693302388363</v>
      </c>
      <c r="J10" s="104">
        <f t="shared" si="5"/>
        <v>4549.7141833555543</v>
      </c>
      <c r="K10" s="104">
        <f t="shared" si="5"/>
        <v>4868.1941761904436</v>
      </c>
      <c r="L10" s="104">
        <f t="shared" si="5"/>
        <v>5208.9677685237757</v>
      </c>
      <c r="M10" s="104">
        <f t="shared" si="5"/>
        <v>5573.5955123204403</v>
      </c>
      <c r="N10" s="8">
        <f t="shared" si="1"/>
        <v>47553.531402612389</v>
      </c>
    </row>
    <row r="11" spans="1:19" x14ac:dyDescent="0.2">
      <c r="A11" s="9" t="s">
        <v>8</v>
      </c>
      <c r="B11" s="9">
        <f>SUM(B3:B6)-SUM(B9:B10)</f>
        <v>179833.33333333331</v>
      </c>
      <c r="C11" s="9">
        <f t="shared" ref="C11:M11" si="6">SUM(C3:C6)-SUM(C9:C10)</f>
        <v>179833.33333333331</v>
      </c>
      <c r="D11" s="9">
        <f t="shared" si="6"/>
        <v>192421.66666666669</v>
      </c>
      <c r="E11" s="9">
        <f t="shared" si="6"/>
        <v>205891.18333333332</v>
      </c>
      <c r="F11" s="9">
        <f t="shared" si="6"/>
        <v>220303.56616666666</v>
      </c>
      <c r="G11" s="9">
        <f t="shared" si="6"/>
        <v>254292.09996500006</v>
      </c>
      <c r="H11" s="9">
        <f t="shared" si="6"/>
        <v>252225.55290421675</v>
      </c>
      <c r="I11" s="9">
        <f t="shared" si="6"/>
        <v>269881.34160751197</v>
      </c>
      <c r="J11" s="9">
        <f t="shared" si="6"/>
        <v>288773.03552003787</v>
      </c>
      <c r="K11" s="9">
        <f t="shared" si="6"/>
        <v>308987.14800644049</v>
      </c>
      <c r="L11" s="9">
        <f t="shared" si="6"/>
        <v>330616.24836689135</v>
      </c>
      <c r="M11" s="9">
        <f t="shared" si="6"/>
        <v>383260.18300537922</v>
      </c>
      <c r="N11" s="10">
        <f t="shared" si="1"/>
        <v>3066318.6922088112</v>
      </c>
    </row>
    <row r="12" spans="1:19" x14ac:dyDescent="0.2">
      <c r="B12" s="9"/>
      <c r="C12" s="58"/>
      <c r="D12" s="58"/>
      <c r="H12" s="9"/>
    </row>
    <row r="13" spans="1:19" x14ac:dyDescent="0.2">
      <c r="A13" s="35" t="s">
        <v>27</v>
      </c>
      <c r="B13" s="4">
        <f>IF(COUNTIF(C$62:$M$62,"A")&gt;0,0,SUM($B63:B64)/IF(B$62="x",1,(COUNTA(B$2:$M$2))))</f>
        <v>5833.333333333333</v>
      </c>
      <c r="C13" s="4">
        <f>IF(COUNTIF(D$62:$M$62,"A")&gt;0,0,(SUM($B63:C64)-SUM($B13:B13))/IF(C$62="x",1,COUNTA(C$2:$M$2)))</f>
        <v>5833.333333333333</v>
      </c>
      <c r="D13" s="4">
        <f>IF(COUNTIF(E$62:$M$62,"A")&gt;0,0,(SUM($B63:D64)-SUM($B13:C13))/IF(D$62="x",1,COUNTA(D$2:$M$2)))</f>
        <v>5833.3333333333339</v>
      </c>
      <c r="E13" s="4">
        <f>IF(COUNTIF(F$62:$M$62,"A")&gt;0,0,(SUM($B63:E64)-SUM($B13:D13))/IF(E$62="x",1,COUNTA(E$2:$M$2)))</f>
        <v>28055.555555555555</v>
      </c>
      <c r="F13" s="4">
        <f>IF(COUNTIF(G$62:$M$62,"A")&gt;0,0,(SUM($B63:F64)-SUM($B13:E13))/IF(F$62="x",1,COUNTA(F$2:$M$2)))</f>
        <v>28055.555555555555</v>
      </c>
      <c r="G13" s="4">
        <f>IF(COUNTIF(H$62:$M$62,"A")&gt;0,0,(SUM($B63:G64)-SUM($B13:F13))/IF(G$62="x",1,COUNTA(G$2:$M$2)))</f>
        <v>28055.555555555555</v>
      </c>
      <c r="H13" s="4">
        <f>IF(COUNTIF(I$62:$M$62,"A")&gt;0,0,(SUM($B63:H64)-SUM($B13:G13))/IF(H$62="x",1,COUNTA(H$2:$M$2)))</f>
        <v>28055.555555555558</v>
      </c>
      <c r="I13" s="4">
        <f>IF(COUNTIF(J$62:$M$62,"A")&gt;0,0,(SUM($B63:I64)-SUM($B13:H13))/IF(I$62="x",1,COUNTA(I$2:$M$2)))</f>
        <v>28055.555555555555</v>
      </c>
      <c r="J13" s="4">
        <f>IF(COUNTIF(K$62:$M$62,"A")&gt;0,0,(SUM($B63:J64)-SUM($B13:I13))/IF(J$62="x",1,COUNTA(J$2:$M$2)))</f>
        <v>28055.555555555555</v>
      </c>
      <c r="K13" s="4">
        <f>IF(COUNTIF(L$62:$M$62,"A")&gt;0,0,(SUM($B63:K64)-SUM($B13:J13))/IF(K$62="x",1,COUNTA(K$2:$M$2)))</f>
        <v>28055.555555555551</v>
      </c>
      <c r="L13" s="4">
        <f>IF(COUNTIF(M$62:$M$62,"A")&gt;0,0,(SUM($B63:L64)-SUM($B13:K13))/IF(L$62="x",1,COUNTA(L$2:$M$2)))</f>
        <v>28055.555555555547</v>
      </c>
      <c r="M13" s="4">
        <f>IF(COUNTIF($M$62:N$62,"A")&gt;0,0,(SUM($B63:M64)-SUM($B13:L13))/IF(M$62="x",1,COUNTA(M$2:$M$2)))</f>
        <v>28055.555555555562</v>
      </c>
      <c r="N13" s="8">
        <f t="shared" si="1"/>
        <v>270000</v>
      </c>
    </row>
    <row r="14" spans="1:19" x14ac:dyDescent="0.2">
      <c r="A14" s="35" t="s">
        <v>28</v>
      </c>
      <c r="B14" s="4">
        <f>IF(COUNTIF(C$62:$M$62,"A")&gt;0,0,SUM($B65:B66)/IF(B$62="x",1,(COUNTA(B$2:$M$2))))</f>
        <v>991.66666666666663</v>
      </c>
      <c r="C14" s="4">
        <f>IF(COUNTIF(D$62:$M$62,"A")&gt;0,0,(SUM($B65:C66)-SUM($B14:B14))/IF(C$62="x",1,COUNTA(C$2:$M$2)))</f>
        <v>991.66666666666674</v>
      </c>
      <c r="D14" s="4">
        <f>IF(COUNTIF(E$62:$M$62,"A")&gt;0,0,(SUM($B65:D66)-SUM($B14:C14))/IF(D$62="x",1,COUNTA(D$2:$M$2)))</f>
        <v>991.66666666666663</v>
      </c>
      <c r="E14" s="4">
        <f>IF(COUNTIF(F$62:$M$62,"A")&gt;0,0,(SUM($B65:E66)-SUM($B14:D14))/IF(E$62="x",1,COUNTA(E$2:$M$2)))</f>
        <v>3412.9762888888881</v>
      </c>
      <c r="F14" s="4">
        <f>IF(COUNTIF(G$62:$M$62,"A")&gt;0,0,(SUM($B65:F66)-SUM($B14:E14))/IF(F$62="x",1,COUNTA(F$2:$M$2)))</f>
        <v>3412.9762888888881</v>
      </c>
      <c r="G14" s="4">
        <f>IF(COUNTIF(H$62:$M$62,"A")&gt;0,0,(SUM($B65:G66)-SUM($B14:F14))/IF(G$62="x",1,COUNTA(G$2:$M$2)))</f>
        <v>3412.9762888888881</v>
      </c>
      <c r="H14" s="4">
        <f>IF(COUNTIF(I$62:$M$62,"A")&gt;0,0,(SUM($B65:H66)-SUM($B14:G14))/IF(H$62="x",1,COUNTA(H$2:$M$2)))</f>
        <v>3412.9762888888877</v>
      </c>
      <c r="I14" s="4">
        <f>IF(COUNTIF(J$62:$M$62,"A")&gt;0,0,(SUM($B65:I66)-SUM($B14:H14))/IF(I$62="x",1,COUNTA(I$2:$M$2)))</f>
        <v>3412.9762888888881</v>
      </c>
      <c r="J14" s="4">
        <f>IF(COUNTIF(K$62:$M$62,"A")&gt;0,0,(SUM($B65:J66)-SUM($B14:I14))/IF(J$62="x",1,COUNTA(J$2:$M$2)))</f>
        <v>3412.9762888888881</v>
      </c>
      <c r="K14" s="4">
        <f>IF(COUNTIF(L$62:$M$62,"A")&gt;0,0,(SUM($B65:K66)-SUM($B14:J14))/IF(K$62="x",1,COUNTA(K$2:$M$2)))</f>
        <v>3412.9762888888886</v>
      </c>
      <c r="L14" s="4">
        <f>IF(COUNTIF(M$62:$M$62,"A")&gt;0,0,(SUM($B65:L66)-SUM($B14:K14))/IF(L$62="x",1,COUNTA(L$2:$M$2)))</f>
        <v>3412.976288888889</v>
      </c>
      <c r="M14" s="4">
        <f>IF(COUNTIF($M$62:N$62,"A")&gt;0,0,(SUM($B65:M66)-SUM($B14:L14))/IF(M$62="x",1,COUNTA(M$2:$M$2)))</f>
        <v>3412.9762888888872</v>
      </c>
      <c r="N14" s="8">
        <f t="shared" si="1"/>
        <v>33691.786599999992</v>
      </c>
    </row>
    <row r="15" spans="1:19" x14ac:dyDescent="0.2">
      <c r="B15" s="9"/>
      <c r="D15" s="58"/>
      <c r="G15" s="58"/>
      <c r="H15" s="9"/>
      <c r="J15" s="5"/>
      <c r="K15" s="5"/>
      <c r="L15" s="5"/>
      <c r="M15" s="5"/>
    </row>
    <row r="16" spans="1:19" x14ac:dyDescent="0.2">
      <c r="A16" s="9" t="s">
        <v>9</v>
      </c>
      <c r="B16" s="9">
        <f>B13-B14</f>
        <v>4841.6666666666661</v>
      </c>
      <c r="C16" s="9">
        <f t="shared" ref="C16:M16" si="7">C13-C14</f>
        <v>4841.6666666666661</v>
      </c>
      <c r="D16" s="9">
        <f t="shared" si="7"/>
        <v>4841.666666666667</v>
      </c>
      <c r="E16" s="9">
        <f t="shared" si="7"/>
        <v>24642.579266666668</v>
      </c>
      <c r="F16" s="9">
        <f t="shared" si="7"/>
        <v>24642.579266666668</v>
      </c>
      <c r="G16" s="9">
        <f t="shared" si="7"/>
        <v>24642.579266666668</v>
      </c>
      <c r="H16" s="9">
        <f t="shared" si="7"/>
        <v>24642.579266666671</v>
      </c>
      <c r="I16" s="9">
        <f t="shared" si="7"/>
        <v>24642.579266666668</v>
      </c>
      <c r="J16" s="9">
        <f t="shared" si="7"/>
        <v>24642.579266666668</v>
      </c>
      <c r="K16" s="9">
        <f t="shared" si="7"/>
        <v>24642.579266666664</v>
      </c>
      <c r="L16" s="9">
        <f t="shared" si="7"/>
        <v>24642.57926666666</v>
      </c>
      <c r="M16" s="9">
        <f t="shared" si="7"/>
        <v>24642.579266666675</v>
      </c>
      <c r="N16" s="10">
        <f t="shared" si="1"/>
        <v>236308.21340000001</v>
      </c>
    </row>
    <row r="17" spans="1:19" x14ac:dyDescent="0.2">
      <c r="E17" s="3"/>
      <c r="H17" s="5"/>
    </row>
    <row r="18" spans="1:19" x14ac:dyDescent="0.2">
      <c r="A18" s="4" t="s">
        <v>10</v>
      </c>
      <c r="B18" s="100">
        <v>0</v>
      </c>
      <c r="C18" s="100">
        <v>0</v>
      </c>
      <c r="D18" s="100">
        <v>0</v>
      </c>
      <c r="E18" s="100">
        <v>0</v>
      </c>
      <c r="F18" s="100">
        <v>0</v>
      </c>
      <c r="G18" s="100">
        <v>0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8">
        <f t="shared" si="1"/>
        <v>0</v>
      </c>
      <c r="P18" s="61"/>
      <c r="Q18" s="61"/>
    </row>
    <row r="19" spans="1:19" x14ac:dyDescent="0.2">
      <c r="A19" s="4" t="s">
        <v>21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8">
        <f t="shared" si="1"/>
        <v>0</v>
      </c>
      <c r="P19" s="61"/>
      <c r="Q19" s="61"/>
    </row>
    <row r="20" spans="1:19" x14ac:dyDescent="0.2">
      <c r="A20" s="4" t="s">
        <v>22</v>
      </c>
      <c r="B20" s="100">
        <v>0</v>
      </c>
      <c r="C20" s="100">
        <v>0</v>
      </c>
      <c r="D20" s="100">
        <v>0</v>
      </c>
      <c r="E20" s="100">
        <v>0</v>
      </c>
      <c r="F20" s="100">
        <v>0</v>
      </c>
      <c r="G20" s="100">
        <v>0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8">
        <f t="shared" si="1"/>
        <v>0</v>
      </c>
      <c r="P20" s="61"/>
      <c r="Q20" s="61"/>
    </row>
    <row r="21" spans="1:19" x14ac:dyDescent="0.2">
      <c r="A21" s="77" t="s">
        <v>50</v>
      </c>
      <c r="B21" s="100">
        <v>0</v>
      </c>
      <c r="C21" s="100">
        <v>0</v>
      </c>
      <c r="D21" s="100">
        <v>0</v>
      </c>
      <c r="E21" s="100">
        <v>0</v>
      </c>
      <c r="F21" s="100">
        <v>0</v>
      </c>
      <c r="G21" s="100">
        <v>0</v>
      </c>
      <c r="H21" s="100">
        <v>0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8">
        <f t="shared" si="1"/>
        <v>0</v>
      </c>
      <c r="P21" s="61"/>
      <c r="Q21" s="61"/>
    </row>
    <row r="22" spans="1:19" x14ac:dyDescent="0.2">
      <c r="A22" s="4" t="s">
        <v>25</v>
      </c>
      <c r="B22" s="100">
        <v>0</v>
      </c>
      <c r="C22" s="100">
        <v>0</v>
      </c>
      <c r="D22" s="100">
        <v>0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8">
        <f t="shared" si="1"/>
        <v>0</v>
      </c>
      <c r="P22" s="61"/>
      <c r="Q22" s="61"/>
    </row>
    <row r="23" spans="1:19" x14ac:dyDescent="0.2">
      <c r="A23" s="76" t="s">
        <v>43</v>
      </c>
      <c r="B23" s="100">
        <v>0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8">
        <f t="shared" si="1"/>
        <v>0</v>
      </c>
      <c r="P23" s="61"/>
      <c r="Q23" s="61"/>
    </row>
    <row r="24" spans="1:19" x14ac:dyDescent="0.2">
      <c r="A24" s="77" t="s">
        <v>51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8">
        <f t="shared" si="1"/>
        <v>0</v>
      </c>
      <c r="P24" s="61"/>
      <c r="Q24" s="61"/>
    </row>
    <row r="25" spans="1:19" x14ac:dyDescent="0.2">
      <c r="A25" s="77" t="s">
        <v>45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8">
        <f t="shared" si="1"/>
        <v>0</v>
      </c>
      <c r="P25" s="61"/>
      <c r="Q25" s="61"/>
    </row>
    <row r="26" spans="1:19" x14ac:dyDescent="0.2">
      <c r="A26" s="68" t="s">
        <v>42</v>
      </c>
      <c r="B26" s="100">
        <v>0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8">
        <f t="shared" si="1"/>
        <v>0</v>
      </c>
      <c r="P26" s="61"/>
      <c r="Q26" s="61"/>
    </row>
    <row r="27" spans="1:19" x14ac:dyDescent="0.2">
      <c r="A27" s="77" t="s">
        <v>52</v>
      </c>
      <c r="B27" s="100">
        <v>0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8">
        <f t="shared" si="1"/>
        <v>0</v>
      </c>
      <c r="P27" s="61"/>
      <c r="Q27" s="61"/>
    </row>
    <row r="28" spans="1:19" s="19" customFormat="1" x14ac:dyDescent="0.2">
      <c r="A28" s="18"/>
      <c r="B28" s="18"/>
      <c r="G28" s="59"/>
      <c r="H28" s="20"/>
      <c r="J28" s="21"/>
      <c r="K28" s="21"/>
      <c r="L28" s="21"/>
      <c r="M28" s="21"/>
      <c r="P28" s="61"/>
      <c r="Q28" s="61"/>
    </row>
    <row r="29" spans="1:19" s="71" customFormat="1" x14ac:dyDescent="0.2">
      <c r="A29" s="69" t="s">
        <v>53</v>
      </c>
      <c r="B29" s="91">
        <f>IF(B76&lt;=Tablas!$G$3, MAX(0,B11+B16-SUM(B18:B27,B32:B37)),0)</f>
        <v>0</v>
      </c>
      <c r="C29" s="91">
        <f>IF(C76&lt;=Tablas!$G$3, MAX(0,C11+C16-SUM(C18:C27,C32:C37)),0)</f>
        <v>42811.665666666639</v>
      </c>
      <c r="D29" s="91">
        <f>IF(D76&lt;=Tablas!$G$3, MAX(0,D11+D16-SUM(D18:D27,D32:D37)),0)</f>
        <v>55399.998999999982</v>
      </c>
      <c r="E29" s="91">
        <f>IF(E76&lt;=Tablas!$G$3, MAX(0,E11+E16-SUM(E18:E27,E32:E37)),0)</f>
        <v>0</v>
      </c>
      <c r="F29" s="91">
        <f>IF(F76&lt;=Tablas!$G$3, MAX(0,F11+F16-SUM(F18:F27,F32:F37)),0)</f>
        <v>0</v>
      </c>
      <c r="G29" s="91">
        <f>IF(G76&lt;=Tablas!$J$3, MAX(0,G11+G16-SUM(G18:G27,G32:G37)),0)</f>
        <v>137071.34489833337</v>
      </c>
      <c r="H29" s="91">
        <f>IF(H76&lt;=Tablas!$J$3, MAX(0,H11+H16-SUM(H18:H27,H32:H37)),0)</f>
        <v>135004.79783755008</v>
      </c>
      <c r="I29" s="91">
        <f>IF(I76&lt;=Tablas!$J$3, MAX(0,I11+I16-SUM(I18:I27,I32:I37)),0)</f>
        <v>0</v>
      </c>
      <c r="J29" s="91">
        <f>IF(J76&lt;=Tablas!$J$3, MAX(0,J11+J16-SUM(J18:J27,J32:J37)),0)</f>
        <v>0</v>
      </c>
      <c r="K29" s="91">
        <f>IF(K76&lt;=Tablas!$J$3, MAX(0,K11+K16-SUM(K18:K27,K32:K37)),0)</f>
        <v>0</v>
      </c>
      <c r="L29" s="91">
        <f>IF(L76&lt;=Tablas!$J$3, MAX(0,L11+L16-SUM(L18:L27,L32:L37)),0)</f>
        <v>0</v>
      </c>
      <c r="M29" s="91">
        <f>IF(M76&lt;=Tablas!$J$3, MAX(0,M11+M16-SUM(M18:M27,M32:M37)),0)</f>
        <v>0</v>
      </c>
      <c r="N29" s="70">
        <f t="shared" si="1"/>
        <v>370287.80740255007</v>
      </c>
      <c r="P29" s="72"/>
      <c r="Q29" s="72"/>
    </row>
    <row r="30" spans="1:19" s="71" customFormat="1" x14ac:dyDescent="0.2">
      <c r="A30" s="69" t="s">
        <v>54</v>
      </c>
      <c r="B30" s="91">
        <f>VLOOKUP(B76,Tablas!$G:$H,2)</f>
        <v>0</v>
      </c>
      <c r="C30" s="91">
        <f>VLOOKUP(C76,Tablas!$G:$H,2)</f>
        <v>0</v>
      </c>
      <c r="D30" s="91">
        <f>VLOOKUP(D76,Tablas!$G:$H,2)</f>
        <v>0</v>
      </c>
      <c r="E30" s="91">
        <f>VLOOKUP(E76,Tablas!$G:$H,2)</f>
        <v>0</v>
      </c>
      <c r="F30" s="91">
        <f>VLOOKUP(F76,Tablas!$G:$H,2)</f>
        <v>25472</v>
      </c>
      <c r="G30" s="93">
        <f>VLOOKUP(G76,Tablas!$J:$K,2)</f>
        <v>0</v>
      </c>
      <c r="H30" s="91">
        <f>VLOOKUP(H76,Tablas!$J:$K,2)</f>
        <v>0</v>
      </c>
      <c r="I30" s="91">
        <f>VLOOKUP(I76,Tablas!$J:$K,2)</f>
        <v>109772.9</v>
      </c>
      <c r="J30" s="91">
        <f>VLOOKUP(J76,Tablas!$J:$K,2)</f>
        <v>77352.31</v>
      </c>
      <c r="K30" s="91">
        <f>VLOOKUP(K76,Tablas!$J:$K,2)</f>
        <v>50747.76</v>
      </c>
      <c r="L30" s="91">
        <f>VLOOKUP(L76,Tablas!$J:$K,2)</f>
        <v>25179.55</v>
      </c>
      <c r="M30" s="91">
        <f>VLOOKUP(M76,Tablas!$J:$K,2)</f>
        <v>0</v>
      </c>
      <c r="N30" s="70">
        <f t="shared" si="1"/>
        <v>288524.51999999996</v>
      </c>
      <c r="P30" s="72"/>
      <c r="Q30" s="72"/>
    </row>
    <row r="31" spans="1:19" s="71" customFormat="1" x14ac:dyDescent="0.2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P31" s="72"/>
      <c r="Q31" s="72"/>
    </row>
    <row r="32" spans="1:19" ht="12.75" x14ac:dyDescent="0.25">
      <c r="A32" s="4" t="s">
        <v>12</v>
      </c>
      <c r="B32" s="4">
        <f>O32</f>
        <v>101025.936</v>
      </c>
      <c r="C32" s="4">
        <f>IF(COUNTIF($B$62:B$62,"x")&gt;0,0,IF(C$62="A",$O32*COUNTA($A32:B32),IF(COUNTIF(D$62:$M$62,"A")&gt;0,0,$O32*IF(C$62="x",12,COUNTA($A32:B32))-SUM($B32:B32))))</f>
        <v>101025.936</v>
      </c>
      <c r="D32" s="4">
        <f>IF(COUNTIF($B$62:C$62,"x")&gt;0,0,IF(D$62="A",$O32*COUNTA($A32:C32),IF(COUNTIF(E$62:$M$62,"A")&gt;0,0,$O32*IF(D$62="x",12,COUNTA($A32:C32))-SUM($B32:C32))))</f>
        <v>101025.93600000002</v>
      </c>
      <c r="E32" s="4">
        <f>IF(COUNTIF($B$62:D$62,"x")&gt;0,0,IF(E$62="A",$O32*COUNTA($A32:D32),IF(COUNTIF(F$62:$M$62,"A")&gt;0,0,$O32*IF(E$62="x",12,COUNTA($A32:D32))-SUM($B32:D32))))</f>
        <v>101025.93599999999</v>
      </c>
      <c r="F32" s="4">
        <f>IF(COUNTIF($B$62:E$62,"x")&gt;0,0,IF(F$62="A",$O32*COUNTA($A32:E32),IF(COUNTIF(G$62:$M$62,"A")&gt;0,0,$O32*IF(F$62="x",12,COUNTA($A32:E32))-SUM($B32:E32))))</f>
        <v>101025.93599999999</v>
      </c>
      <c r="G32" s="4">
        <f>IF(COUNTIF($B$62:F$62,"x")&gt;0,0,IF(G$62="A",$O32*COUNTA($A32:F32),IF(COUNTIF(H$62:$M$62,"A")&gt;0,0,$O32*IF(G$62="x",12,COUNTA($A32:F32))-SUM($B32:F32))))</f>
        <v>101025.93600000005</v>
      </c>
      <c r="H32" s="4">
        <f>IF(COUNTIF($B$62:G$62,"x")&gt;0,0,IF(H$62="A",$O32*COUNTA($A32:G32),IF(COUNTIF(I$62:$M$62,"A")&gt;0,0,$O32*IF(H$62="x",12,COUNTA($A32:G32))-SUM($B32:G32))))</f>
        <v>101025.93599999999</v>
      </c>
      <c r="I32" s="4">
        <f>IF(COUNTIF($B$62:H$62,"x")&gt;0,0,IF(I$62="A",$O32*COUNTA($A32:H32),IF(COUNTIF(J$62:$M$62,"A")&gt;0,0,$O32*IF(I$62="x",12,COUNTA($A32:H32))-SUM($B32:H32))))</f>
        <v>101025.93599999999</v>
      </c>
      <c r="J32" s="4">
        <f>IF(COUNTIF($B$62:I$62,"x")&gt;0,0,IF(J$62="A",$O32*COUNTA($A32:I32),IF(COUNTIF(K$62:$M$62,"A")&gt;0,0,$O32*IF(J$62="x",12,COUNTA($A32:I32))-SUM($B32:I32))))</f>
        <v>101025.93599999999</v>
      </c>
      <c r="K32" s="4">
        <f>IF(COUNTIF($B$62:J$62,"x")&gt;0,0,IF(K$62="A",$O32*COUNTA($A32:J32),IF(COUNTIF(L$62:$M$62,"A")&gt;0,0,$O32*IF(K$62="x",12,COUNTA($A32:J32))-SUM($B32:J32))))</f>
        <v>101025.93599999999</v>
      </c>
      <c r="L32" s="4">
        <f>IF(COUNTIF($B$62:K$62,"x")&gt;0,0,IF(L$62="A",$O32*COUNTA($A32:K32),IF(COUNTIF(M$62:$M$62,"A")&gt;0,0,$O32*IF(L$62="x",12,COUNTA($A32:K32))-SUM($B32:K32))))</f>
        <v>101025.9360000001</v>
      </c>
      <c r="M32" s="4">
        <f>IF(COUNTIF($B$62:L$62,"x")&gt;0,0,IF(M$62="A",$O32*COUNTA($A32:L32),IF(COUNTIF($M$62:N$62,"A")&gt;0,0,$O32*IF(M$62="x",12,COUNTA($A32:L32))-SUM($B32:L32))))</f>
        <v>101025.93599999999</v>
      </c>
      <c r="N32" s="8">
        <f t="shared" si="1"/>
        <v>1212311.2320000001</v>
      </c>
      <c r="O32" s="31">
        <f>O33*4.8</f>
        <v>101025.936</v>
      </c>
      <c r="P32" s="31">
        <f>ROUND(P33*4.8,2)+0.01</f>
        <v>1212311.24</v>
      </c>
      <c r="Q32" s="61"/>
      <c r="R32" s="62"/>
      <c r="S32" s="3"/>
    </row>
    <row r="33" spans="1:19" ht="12.75" x14ac:dyDescent="0.25">
      <c r="A33" s="4" t="s">
        <v>11</v>
      </c>
      <c r="B33" s="4">
        <f>O33</f>
        <v>21047.07</v>
      </c>
      <c r="C33" s="4">
        <f t="shared" ref="C33:M33" si="8">C32/4.8</f>
        <v>21047.07</v>
      </c>
      <c r="D33" s="4">
        <f t="shared" si="8"/>
        <v>21047.070000000003</v>
      </c>
      <c r="E33" s="4">
        <f t="shared" si="8"/>
        <v>21047.07</v>
      </c>
      <c r="F33" s="4">
        <f t="shared" si="8"/>
        <v>21047.07</v>
      </c>
      <c r="G33" s="4">
        <f t="shared" si="8"/>
        <v>21047.070000000011</v>
      </c>
      <c r="H33" s="4">
        <f t="shared" si="8"/>
        <v>21047.07</v>
      </c>
      <c r="I33" s="4">
        <f t="shared" si="8"/>
        <v>21047.07</v>
      </c>
      <c r="J33" s="4">
        <f t="shared" si="8"/>
        <v>21047.07</v>
      </c>
      <c r="K33" s="4">
        <f t="shared" si="8"/>
        <v>21047.07</v>
      </c>
      <c r="L33" s="4">
        <f t="shared" si="8"/>
        <v>21047.070000000022</v>
      </c>
      <c r="M33" s="4">
        <f t="shared" si="8"/>
        <v>21047.07</v>
      </c>
      <c r="N33" s="8">
        <f t="shared" si="1"/>
        <v>252564.84000000008</v>
      </c>
      <c r="O33" s="31">
        <f>P33/12</f>
        <v>21047.07</v>
      </c>
      <c r="P33" s="31">
        <v>252564.84</v>
      </c>
      <c r="Q33" s="61"/>
      <c r="R33" s="61"/>
      <c r="S33" s="3"/>
    </row>
    <row r="34" spans="1:19" ht="12.75" x14ac:dyDescent="0.25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8"/>
      <c r="O34" s="31"/>
      <c r="P34" s="103"/>
      <c r="Q34" s="61"/>
      <c r="R34" s="61"/>
    </row>
    <row r="35" spans="1:19" ht="12.75" x14ac:dyDescent="0.25">
      <c r="A35" s="101" t="s">
        <v>65</v>
      </c>
      <c r="B35" s="4">
        <f>IF(B$62="A",$O35*B68,IF(COUNTIF(C$62:$M$62,"A")&gt;0,0,$O35*IF(B$62="x",12,1)*B68))</f>
        <v>0</v>
      </c>
      <c r="C35" s="4">
        <f>IF(COUNTIF($B$62:B$62,"x")&gt;0,0,IF(C$62="A",$O35*COUNTA($A35:B35)*C68,IF(COUNTIF(D$62:$M$62,"A")&gt;0,0,$O35*IF(C$62="x",12,COUNTA($A35:B35))*C68-SUM($B35:B35))))</f>
        <v>0</v>
      </c>
      <c r="D35" s="4">
        <f>IF(COUNTIF($B$62:C$62,"x")&gt;0,0,IF(D$62="A",$O35*COUNTA($A35:C35)*D68,IF(COUNTIF(E$62:$M$62,"A")&gt;0,0,$O35*IF(D$62="x",12,COUNTA($A35:C35))*D68-SUM($B35:C35))))</f>
        <v>0</v>
      </c>
      <c r="E35" s="4">
        <f>IF(COUNTIF($B$62:D$62,"x")&gt;0,0,IF(E$62="A",$O35*COUNTA($A35:D35)*E68,IF(COUNTIF(F$62:$M$62,"A")&gt;0,0,$O35*IF(E$62="x",12,COUNTA($A35:D35))*E68-SUM($B35:D35))))</f>
        <v>0</v>
      </c>
      <c r="F35" s="4">
        <f>IF(COUNTIF($B$62:E$62,"x")&gt;0,0,IF(F$62="A",$O35*COUNTA($A35:E35)*F68,IF(COUNTIF(G$62:$M$62,"A")&gt;0,0,$O35*IF(F$62="x",12,COUNTA($A35:E35))*F68-SUM($B35:E35))))</f>
        <v>0</v>
      </c>
      <c r="G35" s="4">
        <f>IF(COUNTIF($B$62:F$62,"x")&gt;0,0,IF(G$62="A",$O35*COUNTA($A35:F35)*G68,IF(COUNTIF(H$62:$M$62,"A")&gt;0,0,$O35*IF(G$62="x",12,COUNTA($A35:F35))*G68-SUM($B35:F35))))</f>
        <v>0</v>
      </c>
      <c r="H35" s="4">
        <f>IF(COUNTIF($B$62:G$62,"x")&gt;0,0,IF(H$62="A",$O35*COUNTA($A35:G35)*H68,IF(COUNTIF(I$62:$M$62,"A")&gt;0,0,$O35*IF(H$62="x",12,COUNTA($A35:G35))*H68-SUM($B35:G35))))</f>
        <v>0</v>
      </c>
      <c r="I35" s="4">
        <f>IF(COUNTIF($B$62:H$62,"x")&gt;0,0,IF(I$62="A",$O35*COUNTA($A35:H35)*I68,IF(COUNTIF(J$62:$M$62,"A")&gt;0,0,$O35*IF(I$62="x",12,COUNTA($A35:H35))*I68-SUM($B35:H35))))</f>
        <v>0</v>
      </c>
      <c r="J35" s="4">
        <f>IF(COUNTIF($B$62:I$62,"x")&gt;0,0,IF(J$62="A",$O35*COUNTA($A35:I35)*J68,IF(COUNTIF(K$62:$M$62,"A")&gt;0,0,$O35*IF(J$62="x",12,COUNTA($A35:I35))*J68-SUM($B35:I35))))</f>
        <v>0</v>
      </c>
      <c r="K35" s="4">
        <f>IF(COUNTIF($B$62:J$62,"x")&gt;0,0,IF(K$62="A",$O35*COUNTA($A35:J35)*K68,IF(COUNTIF(L$62:$M$62,"A")&gt;0,0,$O35*IF(K$62="x",12,COUNTA($A35:J35))*K68-SUM($B35:J35))))</f>
        <v>0</v>
      </c>
      <c r="L35" s="4">
        <f>IF(COUNTIF($B$62:K$62,"x")&gt;0,0,IF(L$62="A",$O35*COUNTA($A35:K35)*L68,IF(COUNTIF(M$62:$M$62,"A")&gt;0,0,$O35*IF(L$62="x",12,COUNTA($A35:K35))*L68-SUM($B35:K35))))</f>
        <v>0</v>
      </c>
      <c r="M35" s="4">
        <f>IF(COUNTIF($B$62:L$62,"x")&gt;0,0,IF(M$62="A",$O35*COUNTA($A35:L35)*M68,IF(COUNTIF($M$62:N$62,"A")&gt;0,0,$O35*IF(M$62="x",12,COUNTA($A35:L35))*M68-SUM($B35:L35))))</f>
        <v>0</v>
      </c>
      <c r="N35" s="8">
        <f t="shared" si="1"/>
        <v>0</v>
      </c>
      <c r="O35" s="31">
        <f>P35/12</f>
        <v>19621.4375</v>
      </c>
      <c r="P35" s="31">
        <v>235457.25</v>
      </c>
    </row>
    <row r="36" spans="1:19" ht="12.75" x14ac:dyDescent="0.25">
      <c r="A36" s="4" t="s">
        <v>19</v>
      </c>
      <c r="B36" s="4">
        <f>IF(B$62="A",$O36*B69,IF(COUNTIF(C$62:$M$62,"A")&gt;0,0,$O36*IF(B$62="x",12,1)*B69))</f>
        <v>19790.328333333335</v>
      </c>
      <c r="C36" s="4">
        <f>IF(COUNTIF($B$62:B$62,"x")&gt;0,0,IF(C$62="A",$O36*COUNTA($A36:B36)*C69,IF(COUNTIF(D$62:$M$62,"A")&gt;0,0,$O36*IF(C$62="x",12,COUNTA($A36:B36))*C69-SUM($B36:B36))))</f>
        <v>19790.328333333335</v>
      </c>
      <c r="D36" s="4">
        <f>IF(COUNTIF($B$62:C$62,"x")&gt;0,0,IF(D$62="A",$O36*COUNTA($A36:C36)*D69,IF(COUNTIF(E$62:$M$62,"A")&gt;0,0,$O36*IF(D$62="x",12,COUNTA($A36:C36))*D69-SUM($B36:C36))))</f>
        <v>19790.328333333331</v>
      </c>
      <c r="E36" s="4">
        <f>IF(COUNTIF($B$62:D$62,"x")&gt;0,0,IF(E$62="A",$O36*COUNTA($A36:D36)*E69,IF(COUNTIF(F$62:$M$62,"A")&gt;0,0,$O36*IF(E$62="x",12,COUNTA($A36:D36))*E69-SUM($B36:D36))))</f>
        <v>19790.328333333338</v>
      </c>
      <c r="F36" s="4">
        <f>IF(COUNTIF($B$62:E$62,"x")&gt;0,0,IF(F$62="A",$O36*COUNTA($A36:E36)*F69,IF(COUNTIF(G$62:$M$62,"A")&gt;0,0,$O36*IF(F$62="x",12,COUNTA($A36:E36))*F69-SUM($B36:E36))))</f>
        <v>19790.328333333338</v>
      </c>
      <c r="G36" s="4">
        <f>IF(COUNTIF($B$62:F$62,"x")&gt;0,0,IF(G$62="A",$O36*COUNTA($A36:F36)*G69,IF(COUNTIF(H$62:$M$62,"A")&gt;0,0,$O36*IF(G$62="x",12,COUNTA($A36:F36))*G69-SUM($B36:F36))))</f>
        <v>19790.328333333324</v>
      </c>
      <c r="H36" s="4">
        <f>IF(COUNTIF($B$62:G$62,"x")&gt;0,0,IF(H$62="A",$O36*COUNTA($A36:G36)*H69,IF(COUNTIF(I$62:$M$62,"A")&gt;0,0,$O36*IF(H$62="x",12,COUNTA($A36:G36))*H69-SUM($B36:G36))))</f>
        <v>19790.328333333338</v>
      </c>
      <c r="I36" s="4">
        <f>IF(COUNTIF($B$62:H$62,"x")&gt;0,0,IF(I$62="A",$O36*COUNTA($A36:H36)*I69,IF(COUNTIF(J$62:$M$62,"A")&gt;0,0,$O36*IF(I$62="x",12,COUNTA($A36:H36))*I69-SUM($B36:H36))))</f>
        <v>19790.328333333338</v>
      </c>
      <c r="J36" s="4">
        <f>IF(COUNTIF($B$62:I$62,"x")&gt;0,0,IF(J$62="A",$O36*COUNTA($A36:I36)*J69,IF(COUNTIF(K$62:$M$62,"A")&gt;0,0,$O36*IF(J$62="x",12,COUNTA($A36:I36))*J69-SUM($B36:I36))))</f>
        <v>19790.328333333338</v>
      </c>
      <c r="K36" s="4">
        <f>IF(COUNTIF($B$62:J$62,"x")&gt;0,0,IF(K$62="A",$O36*COUNTA($A36:J36)*K69,IF(COUNTIF(L$62:$M$62,"A")&gt;0,0,$O36*IF(K$62="x",12,COUNTA($A36:J36))*K69-SUM($B36:J36))))</f>
        <v>19790.328333333338</v>
      </c>
      <c r="L36" s="4">
        <f>IF(COUNTIF($B$62:K$62,"x")&gt;0,0,IF(L$62="A",$O36*COUNTA($A36:K36)*L69,IF(COUNTIF(M$62:$M$62,"A")&gt;0,0,$O36*IF(L$62="x",12,COUNTA($A36:K36))*L69-SUM($B36:K36))))</f>
        <v>19790.328333333338</v>
      </c>
      <c r="M36" s="4">
        <f>IF(COUNTIF($B$62:L$62,"x")&gt;0,0,IF(M$62="A",$O36*COUNTA($A36:L36)*M69,IF(COUNTIF($M$62:N$62,"A")&gt;0,0,$O36*IF(M$62="x",12,COUNTA($A36:L36))*M69-SUM($B36:L36))))</f>
        <v>19790.328333333309</v>
      </c>
      <c r="N36" s="8">
        <f t="shared" si="1"/>
        <v>237483.94</v>
      </c>
      <c r="O36" s="31">
        <f>P36/12</f>
        <v>9895.1641666666674</v>
      </c>
      <c r="P36" s="63">
        <v>118741.97</v>
      </c>
    </row>
    <row r="37" spans="1:19" ht="12.75" x14ac:dyDescent="0.25">
      <c r="A37" s="94" t="s">
        <v>64</v>
      </c>
      <c r="B37" s="4">
        <f>IF(B$62="A",$O37*B70,IF(COUNTIF(C$62:$M$62,"A")&gt;0,0,$O37*IF(B$62="x",12,1)*B70))</f>
        <v>0</v>
      </c>
      <c r="C37" s="4">
        <f>IF(COUNTIF($B$62:B$62,"x")&gt;0,0,IF(C$62="A",$O37*COUNTA($A37:B37)*C70,IF(COUNTIF(D$62:$M$62,"A")&gt;0,0,$O37*IF(C$62="x",12,COUNTA($A37:B37))*C70-SUM($B37:B37))))</f>
        <v>0</v>
      </c>
      <c r="D37" s="4">
        <f>IF(COUNTIF($B$62:C$62,"x")&gt;0,0,IF(D$62="A",$O37*COUNTA($A37:C37)*D70,IF(COUNTIF(E$62:$M$62,"A")&gt;0,0,$O37*IF(D$62="x",12,COUNTA($A37:C37))*D70-SUM($B37:C37))))</f>
        <v>0</v>
      </c>
      <c r="E37" s="4">
        <f>IF(COUNTIF($B$62:D$62,"x")&gt;0,0,IF(E$62="A",$O37*COUNTA($A37:D37)*E70,IF(COUNTIF(F$62:$M$62,"A")&gt;0,0,$O37*IF(E$62="x",12,COUNTA($A37:D37))*E70-SUM($B37:D37))))</f>
        <v>0</v>
      </c>
      <c r="F37" s="4">
        <f>IF(COUNTIF($B$62:E$62,"x")&gt;0,0,IF(F$62="A",$O37*COUNTA($A37:E37)*F70,IF(COUNTIF(G$62:$M$62,"A")&gt;0,0,$O37*IF(F$62="x",12,COUNTA($A37:E37))*F70-SUM($B37:E37))))</f>
        <v>0</v>
      </c>
      <c r="G37" s="4">
        <f>IF(COUNTIF($B$62:F$62,"x")&gt;0,0,IF(G$62="A",$O37*COUNTA($A37:F37)*G70,IF(COUNTIF(H$62:$M$62,"A")&gt;0,0,$O37*IF(G$62="x",12,COUNTA($A37:F37))*G70-SUM($B37:F37))))</f>
        <v>0</v>
      </c>
      <c r="H37" s="4">
        <f>IF(COUNTIF($B$62:G$62,"x")&gt;0,0,IF(H$62="A",$O37*COUNTA($A37:G37)*H70,IF(COUNTIF(I$62:$M$62,"A")&gt;0,0,$O37*IF(H$62="x",12,COUNTA($A37:G37))*H70-SUM($B37:G37))))</f>
        <v>0</v>
      </c>
      <c r="I37" s="4">
        <f>IF(COUNTIF($B$62:H$62,"x")&gt;0,0,IF(I$62="A",$O37*COUNTA($A37:H37)*I70,IF(COUNTIF(J$62:$M$62,"A")&gt;0,0,$O37*IF(I$62="x",12,COUNTA($A37:H37))*I70-SUM($B37:H37))))</f>
        <v>0</v>
      </c>
      <c r="J37" s="4">
        <f>IF(COUNTIF($B$62:I$62,"x")&gt;0,0,IF(J$62="A",$O37*COUNTA($A37:I37)*J70,IF(COUNTIF(K$62:$M$62,"A")&gt;0,0,$O37*IF(J$62="x",12,COUNTA($A37:I37))*J70-SUM($B37:I37))))</f>
        <v>0</v>
      </c>
      <c r="K37" s="4">
        <f>IF(COUNTIF($B$62:J$62,"x")&gt;0,0,IF(K$62="A",$O37*COUNTA($A37:J37)*K70,IF(COUNTIF(L$62:$M$62,"A")&gt;0,0,$O37*IF(K$62="x",12,COUNTA($A37:J37))*K70-SUM($B37:J37))))</f>
        <v>0</v>
      </c>
      <c r="L37" s="4">
        <f>IF(COUNTIF($B$62:K$62,"x")&gt;0,0,IF(L$62="A",$O37*COUNTA($A37:K37)*L70,IF(COUNTIF(M$62:$M$62,"A")&gt;0,0,$O37*IF(L$62="x",12,COUNTA($A37:K37))*L70-SUM($B37:K37))))</f>
        <v>0</v>
      </c>
      <c r="M37" s="4">
        <f>IF(COUNTIF($B$62:L$62,"x")&gt;0,0,IF(M$62="A",$O37*COUNTA($A37:L37)*M70,IF(COUNTIF($M$62:N$62,"A")&gt;0,0,$O37*IF(M$62="x",12,COUNTA($A37:L37))*M70-SUM($B37:L37))))</f>
        <v>0</v>
      </c>
      <c r="N37" s="8">
        <f t="shared" si="1"/>
        <v>0</v>
      </c>
      <c r="O37" s="31">
        <f>O36*2</f>
        <v>19790.328333333335</v>
      </c>
      <c r="P37" s="31">
        <f>P36*2</f>
        <v>237483.94</v>
      </c>
    </row>
    <row r="38" spans="1:19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8">
        <f t="shared" si="1"/>
        <v>0</v>
      </c>
    </row>
    <row r="39" spans="1:19" x14ac:dyDescent="0.2">
      <c r="A39" s="9" t="s">
        <v>61</v>
      </c>
      <c r="B39" s="9">
        <f t="shared" ref="B39:M39" si="9">SUM(B18:B38)</f>
        <v>141863.33433333333</v>
      </c>
      <c r="C39" s="9">
        <f t="shared" si="9"/>
        <v>184674.99999999997</v>
      </c>
      <c r="D39" s="9">
        <f t="shared" si="9"/>
        <v>197263.33333333334</v>
      </c>
      <c r="E39" s="9">
        <f t="shared" si="9"/>
        <v>141863.33433333333</v>
      </c>
      <c r="F39" s="9">
        <f t="shared" si="9"/>
        <v>167335.33433333333</v>
      </c>
      <c r="G39" s="9">
        <f t="shared" si="9"/>
        <v>278934.67923166673</v>
      </c>
      <c r="H39" s="9">
        <f t="shared" si="9"/>
        <v>276868.13217088341</v>
      </c>
      <c r="I39" s="9">
        <f t="shared" si="9"/>
        <v>251636.23433333333</v>
      </c>
      <c r="J39" s="9">
        <f t="shared" si="9"/>
        <v>219215.64433333333</v>
      </c>
      <c r="K39" s="9">
        <f t="shared" si="9"/>
        <v>192611.09433333334</v>
      </c>
      <c r="L39" s="9">
        <f t="shared" si="9"/>
        <v>167042.88433333347</v>
      </c>
      <c r="M39" s="9">
        <f t="shared" si="9"/>
        <v>141863.3343333333</v>
      </c>
      <c r="N39" s="10">
        <f t="shared" si="1"/>
        <v>2361172.3394025499</v>
      </c>
    </row>
    <row r="40" spans="1:19" x14ac:dyDescent="0.2">
      <c r="B40" s="4"/>
    </row>
    <row r="41" spans="1:19" x14ac:dyDescent="0.2">
      <c r="A41" s="57" t="s">
        <v>49</v>
      </c>
      <c r="B41" s="95"/>
      <c r="C41" s="61">
        <f t="shared" ref="C41:M41" si="10">C11+C16-C39</f>
        <v>0</v>
      </c>
      <c r="D41" s="61">
        <f t="shared" si="10"/>
        <v>0</v>
      </c>
      <c r="E41" s="61">
        <f t="shared" si="10"/>
        <v>88670.428266666655</v>
      </c>
      <c r="F41" s="61">
        <f t="shared" si="10"/>
        <v>77610.811099999992</v>
      </c>
      <c r="G41" s="61">
        <f t="shared" si="10"/>
        <v>0</v>
      </c>
      <c r="H41" s="61">
        <f t="shared" si="10"/>
        <v>0</v>
      </c>
      <c r="I41" s="61">
        <f t="shared" si="10"/>
        <v>42887.686540845316</v>
      </c>
      <c r="J41" s="61">
        <f t="shared" si="10"/>
        <v>94199.970453371207</v>
      </c>
      <c r="K41" s="61">
        <f t="shared" si="10"/>
        <v>141018.63293977382</v>
      </c>
      <c r="L41" s="61">
        <f t="shared" si="10"/>
        <v>188215.94330022455</v>
      </c>
      <c r="M41" s="61">
        <f t="shared" si="10"/>
        <v>266039.42793871259</v>
      </c>
      <c r="N41" s="4"/>
    </row>
    <row r="42" spans="1:19" x14ac:dyDescent="0.2">
      <c r="A42" s="77" t="s">
        <v>48</v>
      </c>
      <c r="B42" s="37">
        <f>SUM($B3:B5,$B13:B13)-SUM($B9:B10,$B14:B14,$B39:B39)-SUM($B48:B49,-$B50:B50,-$B51:B51)</f>
        <v>42811.665666666668</v>
      </c>
      <c r="C42" s="37">
        <f>SUM($B3:C5,$B13:C13,$B50:C50,$B51:C51)-SUM($B9:C10,$B14:C14,$B39:C39,$B48:C49)</f>
        <v>42811.665666666697</v>
      </c>
      <c r="D42" s="37">
        <f>SUM($B3:D5,$B13:D13,$B50:D50,$B51:D51)-SUM($B9:D10,$B14:D14,$B39:D39,$B48:D49)</f>
        <v>42811.665666666697</v>
      </c>
      <c r="E42" s="37">
        <f>SUM($B3:E5,$B13:E13,$B50:E50,$B51:E51)-SUM($B9:E10,$B14:E14,$B39:E39,$B48:E49)</f>
        <v>131482.09393333329</v>
      </c>
      <c r="F42" s="37">
        <f>SUM($B3:F5,$B13:F13,$B50:F50,$B51:F51)-SUM($B9:F10,$B14:F14,$B39:F39,$B48:F49)</f>
        <v>209092.90503333323</v>
      </c>
      <c r="G42" s="37">
        <f>SUM($B3:G5,$B13:G13,$B50:G50,$B51:G51)-SUM($B9:G10,$B14:G14,$B39:G39,$B48:G49)</f>
        <v>78013.30403333297</v>
      </c>
      <c r="H42" s="37">
        <f>SUM($B3:H5,$B13:H13,$B50:H50,$B51:H51)-SUM($B9:H10,$B14:H14,$B39:H39,$B48:H49)</f>
        <v>78013.304033332737</v>
      </c>
      <c r="I42" s="37">
        <f>SUM($B3:I5,$B13:I13,$B50:I50,$B51:I51)-SUM($B9:I10,$B14:I14,$B39:I39,$B48:I49)</f>
        <v>120900.99057417805</v>
      </c>
      <c r="J42" s="37">
        <f>SUM($B3:J5,$B13:J13,$B50:J50,$B51:J51)-SUM($B9:J10,$B14:J14,$B39:J39,$B48:J49)</f>
        <v>215100.96102754911</v>
      </c>
      <c r="K42" s="37">
        <f>SUM($B3:K5,$B13:K13,$B50:K50,$B51:K51)-SUM($B9:K10,$B14:K14,$B39:K39,$B48:K49)</f>
        <v>356119.59396732319</v>
      </c>
      <c r="L42" s="37">
        <f>SUM($B3:L5,$B13:L13,$B50:L50,$B51:L51)-SUM($B9:L10,$B14:L14,$B39:L39,$B48:L49)</f>
        <v>544335.5372675485</v>
      </c>
      <c r="M42" s="37">
        <f>SUM($B3:M5,$B13:M13,$B50:M50,$B51:M51)-SUM($B9:M10,$B14:M14,$B39:M39,$B48:M49)</f>
        <v>613659.82947730413</v>
      </c>
      <c r="N42" s="4"/>
    </row>
    <row r="43" spans="1:19" x14ac:dyDescent="0.2">
      <c r="A43" s="46" t="s">
        <v>40</v>
      </c>
      <c r="B43" s="38">
        <f>IF(B62="x",VLOOKUP(B42,Tablas!$A$1:$D$10,3)+(B42-VLOOKUP(B42,Tablas!$A$1:$D$10,1))*VLOOKUP(B42,Tablas!$A$1:$D$10,4),VLOOKUP(B42,Tablas!$A$13:$D$22,3)+(B42-VLOOKUP(B42,Tablas!$A$13:$D$22,1))*VLOOKUP(B42,Tablas!$A$13:$D$22,4))</f>
        <v>5299.158026666667</v>
      </c>
      <c r="C43" s="38">
        <f>IF(C62="x",VLOOKUP(C42,Tablas!$A$1:$D$10,3)+(C42-VLOOKUP(C42,Tablas!$A$1:$D$10,1))*VLOOKUP(C42,Tablas!$A$1:$D$10,4),VLOOKUP(C42,Tablas!$A$25:$D$34,3)+(C42-VLOOKUP(C42,Tablas!$A$25:$D$34,1))*VLOOKUP(C42,Tablas!$A$25:$D$34,4))</f>
        <v>3517.3664966666702</v>
      </c>
      <c r="D43" s="38">
        <f>IF(D62="x",VLOOKUP(D42,Tablas!$A$1:$D$10,3)+(D42-VLOOKUP(D42,Tablas!$A$1:$D$10,1))*VLOOKUP(D42,Tablas!$A$1:$D$10,4),VLOOKUP(D42,Tablas!$A$37:$D$46,3)+(D42-VLOOKUP(D42,Tablas!$A$37:$D$46,1))*VLOOKUP(D42,Tablas!$A$37:$D$46,4))</f>
        <v>2881.0299100000029</v>
      </c>
      <c r="E43" s="38">
        <f>IF(E62="x",VLOOKUP(E42,Tablas!$A$1:$D$10,3)+(E42-VLOOKUP(E42,Tablas!$A$1:$D$10,1))*VLOOKUP(E42,Tablas!$A$1:$D$10,4),VLOOKUP(E42,Tablas!$A$49:$D$58,3)+(E42-VLOOKUP(E42,Tablas!$A$49:$D$58,1))*VLOOKUP(E42,Tablas!$A$49:$D$58,4))</f>
        <v>13641.364047333325</v>
      </c>
      <c r="F43" s="38">
        <f>IF(F62="x",VLOOKUP(F42,Tablas!$A$1:$D$10,3)+(F42-VLOOKUP(F42,Tablas!$A$1:$D$10,1))*VLOOKUP(F42,Tablas!$A$1:$D$10,4),VLOOKUP(F42,Tablas!$A$61:$D$70,3)+(F42-VLOOKUP(F42,Tablas!$A$61:$D$70,1))*VLOOKUP(F42,Tablas!$A$61:$D$70,4))</f>
        <v>25552.359706333315</v>
      </c>
      <c r="G43" s="38">
        <f>IF(G62="x",VLOOKUP(G42,Tablas!$A$1:$D$10,3)+(G42-VLOOKUP(G42,Tablas!$A$1:$D$10,1))*VLOOKUP(G42,Tablas!$A$1:$D$10,4),VLOOKUP(G42,Tablas!$A$73:$D$82,3)+(G42-VLOOKUP(G42,Tablas!$A$73:$D$82,1))*VLOOKUP(G42,Tablas!$A$73:$D$82,4))</f>
        <v>5077.1573629999675</v>
      </c>
      <c r="H43" s="38">
        <f>IF(H62="x",VLOOKUP(H42,Tablas!$A$1:$D$10,3)+(H42-VLOOKUP(H42,Tablas!$A$1:$D$10,1))*VLOOKUP(H42,Tablas!$A$1:$D$10,4),VLOOKUP(H42,Tablas!$A$85:$D$94,3)+(H42-VLOOKUP(H42,Tablas!$A$85:$D$94,1))*VLOOKUP(H42,Tablas!$A$85:$D$94,4))</f>
        <v>4753.1506963332795</v>
      </c>
      <c r="I43" s="38">
        <f>IF(I62="x",VLOOKUP(I42,Tablas!$A$1:$D$10,3)+(I42-VLOOKUP(I42,Tablas!$A$1:$D$10,1))*VLOOKUP(I42,Tablas!$A$1:$D$10,4),VLOOKUP(I42,Tablas!$A$97:$D$106,3)+(I42-VLOOKUP(I42,Tablas!$A$97:$D$106,1))*VLOOKUP(I42,Tablas!$A$97:$D$106,4))</f>
        <v>8289.0358183426906</v>
      </c>
      <c r="J43" s="38">
        <f>IF(J62="x",VLOOKUP(J42,Tablas!$A$1:$D$10,3)+(J42-VLOOKUP(J42,Tablas!$A$1:$D$10,1))*VLOOKUP(J42,Tablas!$A$1:$D$10,4),VLOOKUP(J42,Tablas!$A$109:$D$118,3)+(J42-VLOOKUP(J42,Tablas!$A$109:$D$118,1))*VLOOKUP(J42,Tablas!$A$109:$D$118,4))</f>
        <v>18521.965098305896</v>
      </c>
      <c r="K43" s="38">
        <f>IF(K62="x",VLOOKUP(K42,Tablas!$A$1:$D$10,3)+(K42-VLOOKUP(K42,Tablas!$A$1:$D$10,1))*VLOOKUP(K42,Tablas!$A$1:$D$10,4),VLOOKUP(K42,Tablas!$A$121:$D$130,3)+(K42-VLOOKUP(K42,Tablas!$A$121:$D$130,1))*VLOOKUP(K42,Tablas!$A$121:$D$130,4))</f>
        <v>39312.138353791408</v>
      </c>
      <c r="L43" s="38">
        <f>IF(L62="x",VLOOKUP(L42,Tablas!$A$1:$D$10,3)+(L42-VLOOKUP(L42,Tablas!$A$1:$D$10,1))*VLOOKUP(L42,Tablas!$A$1:$D$10,4),VLOOKUP(L42,Tablas!$A$133:$D$142,3)+(L42-VLOOKUP(L42,Tablas!$A$133:$D$142,1))*VLOOKUP(L42,Tablas!$A$133:$D$142,4))</f>
        <v>72627.089888202798</v>
      </c>
      <c r="M43" s="38">
        <f>IF(M62="x",VLOOKUP(M42,Tablas!$A$1:$D$10,3)+(M42-VLOOKUP(M42,Tablas!$A$1:$D$10,1))*VLOOKUP(M42,Tablas!$A$1:$D$10,4),VLOOKUP(M42,Tablas!$A$1:$D$10,3)+(M42-VLOOKUP(M42,Tablas!$A$1:$D$10,1))*VLOOKUP(M42,Tablas!$A$1:$D$10,4))</f>
        <v>83792.578579779962</v>
      </c>
      <c r="N43" s="4"/>
    </row>
    <row r="44" spans="1:19" x14ac:dyDescent="0.2">
      <c r="B44" s="48">
        <f>IF(B62="x",VLOOKUP(MAX(0,B42),Tablas!$A$1:$D$10,4),VLOOKUP(MAX(0,B42),Tablas!$A$13:$D$22,4))</f>
        <v>0.19</v>
      </c>
      <c r="C44" s="48">
        <f>IF(C62="x",VLOOKUP(MAX(0,C42),Tablas!$A$1:$D$10,4),VLOOKUP(MAX(0,C42),Tablas!$A$25:$D$34,4))</f>
        <v>0.12</v>
      </c>
      <c r="D44" s="48">
        <f>IF(D62="x",VLOOKUP(MAX(0,D42),Tablas!$A$1:$D$10,4),VLOOKUP(MAX(0,D42),Tablas!$A$37:$D$46,4))</f>
        <v>0.09</v>
      </c>
      <c r="E44" s="48">
        <f>IF(E62="x",VLOOKUP(MAX(0,E42),Tablas!$A$1:$D$10,4),VLOOKUP(MAX(0,E42),Tablas!$A$49:$D$58,4))</f>
        <v>0.19</v>
      </c>
      <c r="F44" s="48">
        <f>IF(F62="x",VLOOKUP(MAX(0,F42),Tablas!$A$1:$D$10,4),VLOOKUP(MAX(0,F42),Tablas!$A$61:$D$70,4))</f>
        <v>0.19</v>
      </c>
      <c r="G44" s="48">
        <f>IF(G62="x",VLOOKUP(MAX(0,G42),Tablas!$A$1:$D$10,4),VLOOKUP(MAX(0,G42),Tablas!$A$73:$D$82,4))</f>
        <v>0.09</v>
      </c>
      <c r="H44" s="48">
        <f>IF(H62="x",VLOOKUP(MAX(0,H42),Tablas!$A$1:$D$10,4),VLOOKUP(MAX(0,H42),Tablas!$A$97:$D$106,4))</f>
        <v>0.09</v>
      </c>
      <c r="I44" s="48">
        <f>IF(I62="x",VLOOKUP(MAX(0,I42),Tablas!$A$1:$D$10,4),VLOOKUP(MAX(0,I42),Tablas!$A$97:$D$106,4))</f>
        <v>0.09</v>
      </c>
      <c r="J44" s="48">
        <f>IF(J62="x",VLOOKUP(MAX(0,J42),Tablas!$A$1:$D$10,4),VLOOKUP(MAX(0,J42),Tablas!$A$121:$D$130,4))</f>
        <v>0.12</v>
      </c>
      <c r="K44" s="48">
        <f>IF(K62="x",VLOOKUP(MAX(0,K42),Tablas!$A$1:$D$10,4),VLOOKUP(MAX(0,K42),Tablas!$A$121:$D$130,4))</f>
        <v>0.19</v>
      </c>
      <c r="L44" s="48">
        <f>IF(L62="x",VLOOKUP(MAX(0,L42),Tablas!$A$1:$D$10,4),VLOOKUP(MAX(0,L42),Tablas!$A$133:$D$142,4))</f>
        <v>0.23</v>
      </c>
      <c r="M44" s="48">
        <f>IF(M62="x",VLOOKUP(MAX(0,M42),Tablas!$A$1:$D$10,4),VLOOKUP(MAX(0,M42),Tablas!$A$1:$D$10,4))</f>
        <v>0.23</v>
      </c>
      <c r="N44" s="4"/>
    </row>
    <row r="45" spans="1:19" s="43" customFormat="1" x14ac:dyDescent="0.2">
      <c r="A45" s="41" t="s">
        <v>32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</row>
    <row r="46" spans="1:19" s="43" customFormat="1" x14ac:dyDescent="0.2">
      <c r="A46" s="41" t="s">
        <v>33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</row>
    <row r="47" spans="1:19" s="43" customFormat="1" x14ac:dyDescent="0.2">
      <c r="A47" s="41" t="s">
        <v>34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</row>
    <row r="48" spans="1:19" s="45" customFormat="1" x14ac:dyDescent="0.2">
      <c r="A48" s="44" t="s">
        <v>35</v>
      </c>
      <c r="B48" s="44">
        <f>B45+B46/3*2+B47/2</f>
        <v>0</v>
      </c>
      <c r="C48" s="44">
        <f>C45+C46/3*2+C47/2</f>
        <v>0</v>
      </c>
      <c r="D48" s="44">
        <f t="shared" ref="D48:M48" si="11">D45+D46/3*2+D47/2</f>
        <v>0</v>
      </c>
      <c r="E48" s="44">
        <f t="shared" si="11"/>
        <v>0</v>
      </c>
      <c r="F48" s="44">
        <f t="shared" si="11"/>
        <v>0</v>
      </c>
      <c r="G48" s="44">
        <f t="shared" si="11"/>
        <v>0</v>
      </c>
      <c r="H48" s="44">
        <f t="shared" si="11"/>
        <v>0</v>
      </c>
      <c r="I48" s="44">
        <f t="shared" si="11"/>
        <v>0</v>
      </c>
      <c r="J48" s="44">
        <f t="shared" si="11"/>
        <v>0</v>
      </c>
      <c r="K48" s="44">
        <f t="shared" si="11"/>
        <v>0</v>
      </c>
      <c r="L48" s="44">
        <f t="shared" si="11"/>
        <v>0</v>
      </c>
      <c r="M48" s="44">
        <f t="shared" si="11"/>
        <v>0</v>
      </c>
    </row>
    <row r="49" spans="1:14" s="45" customFormat="1" x14ac:dyDescent="0.2">
      <c r="A49" s="44" t="s">
        <v>36</v>
      </c>
      <c r="B49" s="44">
        <f t="shared" ref="B49:M49" si="12">SUM(B45:B47)-B48</f>
        <v>0</v>
      </c>
      <c r="C49" s="44">
        <f t="shared" si="12"/>
        <v>0</v>
      </c>
      <c r="D49" s="44">
        <f t="shared" si="12"/>
        <v>0</v>
      </c>
      <c r="E49" s="44">
        <f t="shared" si="12"/>
        <v>0</v>
      </c>
      <c r="F49" s="44">
        <f t="shared" si="12"/>
        <v>0</v>
      </c>
      <c r="G49" s="44">
        <f t="shared" si="12"/>
        <v>0</v>
      </c>
      <c r="H49" s="44">
        <f t="shared" si="12"/>
        <v>0</v>
      </c>
      <c r="I49" s="44">
        <f t="shared" si="12"/>
        <v>0</v>
      </c>
      <c r="J49" s="44">
        <f t="shared" si="12"/>
        <v>0</v>
      </c>
      <c r="K49" s="44">
        <f t="shared" si="12"/>
        <v>0</v>
      </c>
      <c r="L49" s="44">
        <f t="shared" si="12"/>
        <v>0</v>
      </c>
      <c r="M49" s="44">
        <f t="shared" si="12"/>
        <v>0</v>
      </c>
    </row>
    <row r="50" spans="1:14" s="45" customFormat="1" x14ac:dyDescent="0.2">
      <c r="A50" s="44" t="s">
        <v>37</v>
      </c>
      <c r="B50" s="44">
        <f>B48*(0.17+$B$71)</f>
        <v>0</v>
      </c>
      <c r="C50" s="44">
        <f>C48*(0.17+$B$71)</f>
        <v>0</v>
      </c>
      <c r="D50" s="44">
        <f>D48*(0.17+$B$71)</f>
        <v>0</v>
      </c>
      <c r="E50" s="44">
        <f>E48*(0.17+$B$71)</f>
        <v>0</v>
      </c>
      <c r="F50" s="44">
        <f>F48*(0.17+$B$71)</f>
        <v>0</v>
      </c>
      <c r="G50" s="44">
        <f>G48*(0.17+$B$71)</f>
        <v>0</v>
      </c>
      <c r="H50" s="44">
        <f>H48*(0.17+$B$71)</f>
        <v>0</v>
      </c>
      <c r="I50" s="44">
        <f>I48*(0.17+$B$71)</f>
        <v>0</v>
      </c>
      <c r="J50" s="44">
        <f>J48*(0.17+$B$71)</f>
        <v>0</v>
      </c>
      <c r="K50" s="44">
        <f>K48*(0.17+$B$71)</f>
        <v>0</v>
      </c>
      <c r="L50" s="44">
        <f>L48*(0.17+$B$71)</f>
        <v>0</v>
      </c>
      <c r="M50" s="44">
        <f>M48*(0.17+$B$71)</f>
        <v>0</v>
      </c>
    </row>
    <row r="51" spans="1:14" s="45" customFormat="1" x14ac:dyDescent="0.2">
      <c r="A51" s="44" t="s">
        <v>38</v>
      </c>
      <c r="B51" s="44">
        <f>B49*(0.17+$B$71)</f>
        <v>0</v>
      </c>
      <c r="C51" s="44">
        <f>C49*(0.17+$B$71)</f>
        <v>0</v>
      </c>
      <c r="D51" s="44">
        <f>D49*(0.17+$B$71)</f>
        <v>0</v>
      </c>
      <c r="E51" s="44">
        <f>E49*(0.17+$B$71)</f>
        <v>0</v>
      </c>
      <c r="F51" s="44">
        <f>F49*(0.17+$B$71)</f>
        <v>0</v>
      </c>
      <c r="G51" s="44">
        <f>G49*(0.17+$B$71)</f>
        <v>0</v>
      </c>
      <c r="H51" s="44">
        <f>H49*(0.17+$B$71)</f>
        <v>0</v>
      </c>
      <c r="I51" s="44">
        <f>I49*(0.17+$B$71)</f>
        <v>0</v>
      </c>
      <c r="J51" s="44">
        <f>J49*(0.17+$B$71)</f>
        <v>0</v>
      </c>
      <c r="K51" s="44">
        <f>K49*(0.17+$B$71)</f>
        <v>0</v>
      </c>
      <c r="L51" s="44">
        <f>L49*(0.17+$B$71)</f>
        <v>0</v>
      </c>
      <c r="M51" s="44">
        <f>M49*(0.17+$B$71)</f>
        <v>0</v>
      </c>
    </row>
    <row r="52" spans="1:14" s="43" customFormat="1" x14ac:dyDescent="0.2">
      <c r="A52" s="46"/>
      <c r="K52" s="47"/>
      <c r="L52" s="47"/>
      <c r="M52" s="47"/>
      <c r="N52" s="47"/>
    </row>
    <row r="53" spans="1:14" s="43" customFormat="1" x14ac:dyDescent="0.2">
      <c r="A53" s="46" t="s">
        <v>39</v>
      </c>
      <c r="B53" s="37">
        <f>B42+B48-B50</f>
        <v>42811.665666666668</v>
      </c>
      <c r="C53" s="37">
        <f>C42+SUM($B48:C48)-SUM($B50:C50)</f>
        <v>42811.665666666697</v>
      </c>
      <c r="D53" s="37">
        <f>D42+SUM($B48:D48)-SUM($B50:D50)</f>
        <v>42811.665666666697</v>
      </c>
      <c r="E53" s="37">
        <f>E42+SUM($B48:E48)-SUM($B50:E50)</f>
        <v>131482.09393333329</v>
      </c>
      <c r="F53" s="37">
        <f>F42+SUM($B48:F48)-SUM($B50:F50)</f>
        <v>209092.90503333323</v>
      </c>
      <c r="G53" s="37">
        <f>G42+SUM($B48:G48)-SUM($B50:G50)</f>
        <v>78013.30403333297</v>
      </c>
      <c r="H53" s="37">
        <f>H42+SUM($B48:H48)-SUM($B50:H50)</f>
        <v>78013.304033332737</v>
      </c>
      <c r="I53" s="37">
        <f>I42+SUM($B48:I48)-SUM($B50:I50)</f>
        <v>120900.99057417805</v>
      </c>
      <c r="J53" s="37">
        <f>J42+SUM($B48:J48)-SUM($B50:J50)</f>
        <v>215100.96102754911</v>
      </c>
      <c r="K53" s="37">
        <f>K42+SUM($B48:K48)-SUM($B50:K50)</f>
        <v>356119.59396732319</v>
      </c>
      <c r="L53" s="37">
        <f>L42+SUM($B48:L48)-SUM($B50:L50)</f>
        <v>544335.5372675485</v>
      </c>
      <c r="M53" s="37">
        <f>M42+SUM($B48:M48)-SUM($B50:M50)</f>
        <v>613659.82947730413</v>
      </c>
      <c r="N53" s="4"/>
    </row>
    <row r="54" spans="1:14" s="43" customFormat="1" x14ac:dyDescent="0.2">
      <c r="A54" s="46" t="s">
        <v>40</v>
      </c>
      <c r="B54" s="38">
        <f>MAX(0,MIN(B48-B50,B53)*B44+B43)</f>
        <v>5299.158026666667</v>
      </c>
      <c r="C54" s="38">
        <f>MAX(0,MIN(SUM($B48:C48)-SUM($B50:C50),C53)*C44+C43)</f>
        <v>3517.3664966666702</v>
      </c>
      <c r="D54" s="38">
        <f>MAX(0,MIN(SUM($B48:D48)-SUM($B50:D50),D53)*D44+D43)</f>
        <v>2881.0299100000029</v>
      </c>
      <c r="E54" s="38">
        <f>MAX(0,MIN(SUM($B48:E48)-SUM($B50:E50),E53)*E44+E43)</f>
        <v>13641.364047333325</v>
      </c>
      <c r="F54" s="38">
        <f>MAX(0,MIN(SUM($B48:F48)-SUM($B50:F50),F53)*F44+F43)</f>
        <v>25552.359706333315</v>
      </c>
      <c r="G54" s="38">
        <f>MAX(0,MIN(SUM($B48:G48)-SUM($B50:G50),G53)*G44+G43)</f>
        <v>5077.1573629999675</v>
      </c>
      <c r="H54" s="38">
        <f>MAX(0,MIN(SUM($B48:H48)-SUM($B50:H50),H53)*H44+H43)</f>
        <v>4753.1506963332795</v>
      </c>
      <c r="I54" s="38">
        <f>MAX(0,MIN(SUM($B48:I48)-SUM($B50:I50),I53)*I44+I43)</f>
        <v>8289.0358183426906</v>
      </c>
      <c r="J54" s="38">
        <f>MAX(0,MIN(SUM($B48:J48)-SUM($B50:J50),J53)*J44+J43)</f>
        <v>18521.965098305896</v>
      </c>
      <c r="K54" s="38">
        <f>MAX(0,MIN(SUM($B48:K48)-SUM($B50:K50),K53)*K44+K43)</f>
        <v>39312.138353791408</v>
      </c>
      <c r="L54" s="38">
        <f>MAX(0,MIN(SUM($B48:L48)-SUM($B50:L50),L53)*L44+L43)</f>
        <v>72627.089888202798</v>
      </c>
      <c r="M54" s="38">
        <f>MAX(0,MIN(SUM($B48:M48)-SUM($B50:M50),M53)*M44+M43)</f>
        <v>83792.578579779962</v>
      </c>
      <c r="N54" s="4"/>
    </row>
    <row r="55" spans="1:14" s="53" customFormat="1" ht="12.75" x14ac:dyDescent="0.25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1"/>
    </row>
    <row r="56" spans="1:14" x14ac:dyDescent="0.2">
      <c r="A56" s="109" t="s">
        <v>67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4"/>
    </row>
    <row r="57" spans="1:14" x14ac:dyDescent="0.2">
      <c r="A57" s="4" t="s">
        <v>0</v>
      </c>
      <c r="B57" s="11">
        <f>0+B56</f>
        <v>0</v>
      </c>
      <c r="C57" s="11">
        <f>B57+B58+C56</f>
        <v>5299.16</v>
      </c>
      <c r="D57" s="11">
        <f t="shared" ref="D57:M57" si="13">C57+C58+D56</f>
        <v>3517.37</v>
      </c>
      <c r="E57" s="11">
        <f t="shared" si="13"/>
        <v>2881.0299999999997</v>
      </c>
      <c r="F57" s="11">
        <f t="shared" si="13"/>
        <v>13641.36</v>
      </c>
      <c r="G57" s="11">
        <f t="shared" si="13"/>
        <v>25552.36</v>
      </c>
      <c r="H57" s="11">
        <f t="shared" si="13"/>
        <v>5077.16</v>
      </c>
      <c r="I57" s="11">
        <f t="shared" si="13"/>
        <v>4753.1499999999996</v>
      </c>
      <c r="J57" s="11">
        <f t="shared" si="13"/>
        <v>8289.0399999999991</v>
      </c>
      <c r="K57" s="11">
        <f t="shared" si="13"/>
        <v>18521.97</v>
      </c>
      <c r="L57" s="11">
        <f t="shared" si="13"/>
        <v>39312.14</v>
      </c>
      <c r="M57" s="11">
        <f t="shared" si="13"/>
        <v>72627.09</v>
      </c>
      <c r="N57" s="4"/>
    </row>
    <row r="58" spans="1:14" x14ac:dyDescent="0.2">
      <c r="A58" s="4" t="s">
        <v>20</v>
      </c>
      <c r="B58" s="11">
        <f>MIN(ROUND(B54-B57,2),B59)</f>
        <v>5299.16</v>
      </c>
      <c r="C58" s="11">
        <f>MAX(-SUM($B58:B58)-SUM($B56:C56),  IF(COUNTIF($B$62:B$62,"X")&gt;0,0,MIN(ROUND(C54-C57,2),C59)))</f>
        <v>-1781.79</v>
      </c>
      <c r="D58" s="11">
        <f>MAX(-SUM($B58:C58)-SUM($B56:D56),  IF(COUNTIF($B$62:C$62,"X")&gt;0,0,MIN(ROUND(D54-D57,2),D59)))</f>
        <v>-636.34</v>
      </c>
      <c r="E58" s="11">
        <f>MAX(-SUM($B58:D58)-SUM($B56:E56),  IF(COUNTIF($B$62:D$62,"X")&gt;0,0,MIN(ROUND(E54-E57,2),E59)))</f>
        <v>10760.33</v>
      </c>
      <c r="F58" s="11">
        <f>MAX(-SUM($B58:E58)-SUM($B56:F56),  IF(COUNTIF($B$62:E$62,"X")&gt;0,0,MIN(ROUND(F54-F57,2),F59)))</f>
        <v>11911</v>
      </c>
      <c r="G58" s="11">
        <f>MAX(-SUM($B58:F58)-SUM($B56:G56),  IF(COUNTIF($B$62:F$62,"X")&gt;0,0,MIN(ROUND(G54-G57,2),G59)))</f>
        <v>-20475.2</v>
      </c>
      <c r="H58" s="11">
        <f>MAX(-SUM($B58:G58)-SUM($B56:H56),  IF(COUNTIF($B$62:G$62,"X")&gt;0,0,MIN(ROUND(H54-H57,2),H59)))</f>
        <v>-324.01</v>
      </c>
      <c r="I58" s="11">
        <f>MAX(-SUM($B58:H58)-SUM($B56:I56),  IF(COUNTIF($B$62:H$62,"X")&gt;0,0,MIN(ROUND(I54-I57,2),I59)))</f>
        <v>3535.89</v>
      </c>
      <c r="J58" s="11">
        <f>MAX(-SUM($B58:I58)-SUM($B56:J56),  IF(COUNTIF($B$62:I$62,"X")&gt;0,0,MIN(ROUND(J54-J57,2),J59)))</f>
        <v>10232.93</v>
      </c>
      <c r="K58" s="11">
        <f>MAX(-SUM($B58:J58)-SUM($B56:K56),  IF(COUNTIF($B$62:J$62,"X")&gt;0,0,MIN(ROUND(K54-K57,2),K59)))</f>
        <v>20790.169999999998</v>
      </c>
      <c r="L58" s="11">
        <f>MAX(-SUM($B58:K58)-SUM($B56:L56),  IF(COUNTIF($B$62:K$62,"X")&gt;0,0,MIN(ROUND(L54-L57,2),L59)))</f>
        <v>33314.949999999997</v>
      </c>
      <c r="M58" s="11">
        <f>MAX(-SUM($B58:L58)-SUM($B56:M56),  IF(COUNTIF($B$62:L$62,"X")&gt;0,0,MIN(ROUND(M54-M57,2),M59)))</f>
        <v>11165.49</v>
      </c>
      <c r="N58" s="8">
        <f>SUM(B58:M58)</f>
        <v>83792.58</v>
      </c>
    </row>
    <row r="59" spans="1:14" s="26" customFormat="1" x14ac:dyDescent="0.2">
      <c r="A59" s="24" t="s">
        <v>26</v>
      </c>
      <c r="B59" s="25">
        <f>(SUM(B3:B5,,B62:B64)) *0.35</f>
        <v>100333.33333333331</v>
      </c>
      <c r="C59" s="25">
        <f>(SUM(C3:C5,C62:C64)) *0.35</f>
        <v>75833.333333333328</v>
      </c>
      <c r="D59" s="25">
        <f>(SUM(D3:D5,D62:D64)) *0.35</f>
        <v>81141.666666666672</v>
      </c>
      <c r="E59" s="25">
        <f>(SUM(E3:E5,E62:E64)) *0.35</f>
        <v>156821.58333333331</v>
      </c>
      <c r="F59" s="25">
        <f>(SUM(F3:F5,F62:F64)) *0.35</f>
        <v>92899.094166666662</v>
      </c>
      <c r="G59" s="25">
        <f>(SUM(G3:G5,G62:G64)) *0.35</f>
        <v>60022.719866666674</v>
      </c>
      <c r="H59" s="25">
        <f>(SUM(H3:H5,H62:H64)) *0.35</f>
        <v>106360.1729114167</v>
      </c>
      <c r="I59" s="25">
        <f>(SUM(I3:I5,I62:I64)) *0.35</f>
        <v>113805.38501521588</v>
      </c>
      <c r="J59" s="25">
        <f>(SUM(J3:J5,J62:J64)) *0.35</f>
        <v>121771.761966281</v>
      </c>
      <c r="K59" s="25">
        <f>(SUM(K3:K5,K62:K64)) *0.35</f>
        <v>130295.78530392068</v>
      </c>
      <c r="L59" s="25">
        <f>(SUM(L3:L5,L62:L64)) *0.35</f>
        <v>139416.49027519513</v>
      </c>
      <c r="M59" s="25">
        <f>(SUM(M3:M5,M62:M64)) *0.35</f>
        <v>90650.626127805881</v>
      </c>
    </row>
    <row r="60" spans="1:14" s="26" customFormat="1" x14ac:dyDescent="0.2">
      <c r="A60" s="24" t="s">
        <v>46</v>
      </c>
      <c r="B60" s="25">
        <f t="shared" ref="B60:M60" si="14">MAX(0,ROUND(B43-B57,2)-B58)</f>
        <v>0</v>
      </c>
      <c r="C60" s="25">
        <f t="shared" si="14"/>
        <v>0</v>
      </c>
      <c r="D60" s="25">
        <f t="shared" si="14"/>
        <v>0</v>
      </c>
      <c r="E60" s="25">
        <f t="shared" si="14"/>
        <v>0</v>
      </c>
      <c r="F60" s="25">
        <f t="shared" si="14"/>
        <v>0</v>
      </c>
      <c r="G60" s="25">
        <f t="shared" si="14"/>
        <v>0</v>
      </c>
      <c r="H60" s="25">
        <f t="shared" si="14"/>
        <v>0</v>
      </c>
      <c r="I60" s="25">
        <f t="shared" si="14"/>
        <v>0</v>
      </c>
      <c r="J60" s="25">
        <f t="shared" si="14"/>
        <v>0</v>
      </c>
      <c r="K60" s="25">
        <f t="shared" si="14"/>
        <v>0</v>
      </c>
      <c r="L60" s="25">
        <f t="shared" si="14"/>
        <v>0</v>
      </c>
      <c r="M60" s="25">
        <f t="shared" si="14"/>
        <v>0</v>
      </c>
    </row>
    <row r="61" spans="1:14" s="26" customFormat="1" x14ac:dyDescent="0.2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</row>
    <row r="62" spans="1:14" s="29" customFormat="1" x14ac:dyDescent="0.2">
      <c r="A62" s="27" t="s">
        <v>60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4" x14ac:dyDescent="0.2">
      <c r="A63" s="36" t="s">
        <v>29</v>
      </c>
      <c r="B63" s="100">
        <v>70000</v>
      </c>
      <c r="C63" s="100">
        <v>0</v>
      </c>
      <c r="D63" s="54">
        <v>0</v>
      </c>
      <c r="E63" s="54">
        <v>0</v>
      </c>
      <c r="F63" s="54">
        <v>0</v>
      </c>
      <c r="G63" s="54"/>
      <c r="H63" s="16"/>
      <c r="I63" s="15"/>
      <c r="J63" s="17"/>
      <c r="K63" s="17"/>
      <c r="L63" s="17"/>
      <c r="M63" s="17"/>
      <c r="N63" s="3"/>
    </row>
    <row r="64" spans="1:14" x14ac:dyDescent="0.2">
      <c r="A64" s="36" t="s">
        <v>24</v>
      </c>
      <c r="B64" s="100">
        <v>0</v>
      </c>
      <c r="C64" s="100">
        <v>0</v>
      </c>
      <c r="D64" s="54">
        <v>0</v>
      </c>
      <c r="E64" s="54">
        <v>200000</v>
      </c>
      <c r="F64" s="54">
        <v>0</v>
      </c>
      <c r="G64" s="54"/>
      <c r="H64" s="16"/>
      <c r="I64" s="16"/>
      <c r="J64" s="16"/>
      <c r="K64" s="16"/>
      <c r="L64" s="17"/>
      <c r="M64" s="17"/>
      <c r="N64" s="3"/>
    </row>
    <row r="65" spans="1:17" s="34" customFormat="1" x14ac:dyDescent="0.2">
      <c r="A65" s="32" t="str">
        <f>A63&amp;" (Ap)"</f>
        <v>Prorrateo Vacaciones (Ap)</v>
      </c>
      <c r="B65" s="104">
        <f>MIN(B$3+B$63,B$78)*(0.17+$B$71)-B$9</f>
        <v>11900</v>
      </c>
      <c r="C65" s="104">
        <f t="shared" ref="C65:M65" si="15">MIN(C$3+C$63,C$78)*(0.17+$B$71)-C$9</f>
        <v>0</v>
      </c>
      <c r="D65" s="104">
        <f t="shared" si="15"/>
        <v>0</v>
      </c>
      <c r="E65" s="104">
        <f t="shared" si="15"/>
        <v>0</v>
      </c>
      <c r="F65" s="104">
        <f t="shared" si="15"/>
        <v>0</v>
      </c>
      <c r="G65" s="104">
        <f t="shared" si="15"/>
        <v>0</v>
      </c>
      <c r="H65" s="104">
        <f t="shared" si="15"/>
        <v>0</v>
      </c>
      <c r="I65" s="104">
        <f t="shared" si="15"/>
        <v>0</v>
      </c>
      <c r="J65" s="104">
        <f t="shared" si="15"/>
        <v>0</v>
      </c>
      <c r="K65" s="104">
        <f t="shared" si="15"/>
        <v>0</v>
      </c>
      <c r="L65" s="104">
        <f t="shared" si="15"/>
        <v>0</v>
      </c>
      <c r="M65" s="104">
        <f t="shared" si="15"/>
        <v>0</v>
      </c>
      <c r="N65" s="33"/>
    </row>
    <row r="66" spans="1:17" s="34" customFormat="1" x14ac:dyDescent="0.2">
      <c r="A66" s="32" t="str">
        <f>A64&amp;" (Ap)"</f>
        <v>Prorrateo Premios (Ap)</v>
      </c>
      <c r="B66" s="104">
        <f>MIN(B$3+B$63+B$64,B$78)*(0.17+$B$71)-B$9-B$65</f>
        <v>0</v>
      </c>
      <c r="C66" s="104">
        <f t="shared" ref="C66:M66" si="16">MIN(C$3+C$63+C$64,C$78)*(0.17+$B$71)-C$9-C$65</f>
        <v>0</v>
      </c>
      <c r="D66" s="104">
        <f t="shared" si="16"/>
        <v>0</v>
      </c>
      <c r="E66" s="104">
        <f t="shared" si="16"/>
        <v>21791.786599999992</v>
      </c>
      <c r="F66" s="104">
        <f t="shared" si="16"/>
        <v>0</v>
      </c>
      <c r="G66" s="104">
        <f t="shared" si="16"/>
        <v>0</v>
      </c>
      <c r="H66" s="104">
        <f t="shared" si="16"/>
        <v>0</v>
      </c>
      <c r="I66" s="104">
        <f t="shared" si="16"/>
        <v>0</v>
      </c>
      <c r="J66" s="104">
        <f t="shared" si="16"/>
        <v>0</v>
      </c>
      <c r="K66" s="104">
        <f t="shared" si="16"/>
        <v>0</v>
      </c>
      <c r="L66" s="104">
        <f t="shared" si="16"/>
        <v>0</v>
      </c>
      <c r="M66" s="104">
        <f t="shared" si="16"/>
        <v>0</v>
      </c>
      <c r="N66" s="33"/>
    </row>
    <row r="67" spans="1:17" x14ac:dyDescent="0.2">
      <c r="A67" s="30"/>
      <c r="B67" s="55"/>
      <c r="C67" s="55"/>
      <c r="D67" s="55"/>
      <c r="E67" s="55"/>
      <c r="F67" s="73"/>
      <c r="J67" s="75"/>
    </row>
    <row r="68" spans="1:17" x14ac:dyDescent="0.2">
      <c r="A68" s="101" t="s">
        <v>65</v>
      </c>
      <c r="B68" s="105">
        <v>0</v>
      </c>
      <c r="C68" s="22">
        <f t="shared" ref="C68:M70" si="17">B68</f>
        <v>0</v>
      </c>
      <c r="D68" s="22">
        <f t="shared" si="17"/>
        <v>0</v>
      </c>
      <c r="E68" s="22">
        <f t="shared" si="17"/>
        <v>0</v>
      </c>
      <c r="F68" s="22">
        <f t="shared" si="17"/>
        <v>0</v>
      </c>
      <c r="G68" s="22">
        <f t="shared" si="17"/>
        <v>0</v>
      </c>
      <c r="H68" s="22">
        <f t="shared" si="17"/>
        <v>0</v>
      </c>
      <c r="I68" s="22">
        <f t="shared" si="17"/>
        <v>0</v>
      </c>
      <c r="J68" s="22">
        <f t="shared" si="17"/>
        <v>0</v>
      </c>
      <c r="K68" s="22">
        <f t="shared" si="17"/>
        <v>0</v>
      </c>
      <c r="L68" s="22">
        <f t="shared" si="17"/>
        <v>0</v>
      </c>
      <c r="M68" s="22">
        <f t="shared" si="17"/>
        <v>0</v>
      </c>
      <c r="N68" s="23"/>
    </row>
    <row r="69" spans="1:17" x14ac:dyDescent="0.2">
      <c r="A69" s="30" t="s">
        <v>19</v>
      </c>
      <c r="B69" s="105">
        <v>2</v>
      </c>
      <c r="C69" s="22">
        <f t="shared" si="17"/>
        <v>2</v>
      </c>
      <c r="D69" s="22">
        <f t="shared" si="17"/>
        <v>2</v>
      </c>
      <c r="E69" s="22">
        <f t="shared" si="17"/>
        <v>2</v>
      </c>
      <c r="F69" s="22">
        <f t="shared" si="17"/>
        <v>2</v>
      </c>
      <c r="G69" s="22">
        <f t="shared" si="17"/>
        <v>2</v>
      </c>
      <c r="H69" s="22">
        <f t="shared" si="17"/>
        <v>2</v>
      </c>
      <c r="I69" s="22">
        <f t="shared" si="17"/>
        <v>2</v>
      </c>
      <c r="J69" s="22">
        <f t="shared" si="17"/>
        <v>2</v>
      </c>
      <c r="K69" s="22">
        <f t="shared" si="17"/>
        <v>2</v>
      </c>
      <c r="L69" s="22">
        <f t="shared" si="17"/>
        <v>2</v>
      </c>
      <c r="M69" s="22">
        <f t="shared" si="17"/>
        <v>2</v>
      </c>
      <c r="N69" s="23"/>
    </row>
    <row r="70" spans="1:17" x14ac:dyDescent="0.2">
      <c r="A70" s="96" t="s">
        <v>64</v>
      </c>
      <c r="B70" s="105">
        <v>0</v>
      </c>
      <c r="C70" s="22">
        <f t="shared" si="17"/>
        <v>0</v>
      </c>
      <c r="D70" s="22">
        <f t="shared" si="17"/>
        <v>0</v>
      </c>
      <c r="E70" s="22">
        <f t="shared" si="17"/>
        <v>0</v>
      </c>
      <c r="F70" s="22">
        <f t="shared" si="17"/>
        <v>0</v>
      </c>
      <c r="G70" s="22">
        <f t="shared" si="17"/>
        <v>0</v>
      </c>
      <c r="H70" s="22">
        <f t="shared" si="17"/>
        <v>0</v>
      </c>
      <c r="I70" s="22">
        <f t="shared" si="17"/>
        <v>0</v>
      </c>
      <c r="J70" s="22">
        <f t="shared" si="17"/>
        <v>0</v>
      </c>
      <c r="K70" s="22">
        <f t="shared" si="17"/>
        <v>0</v>
      </c>
      <c r="L70" s="22">
        <f t="shared" si="17"/>
        <v>0</v>
      </c>
      <c r="M70" s="22">
        <f t="shared" si="17"/>
        <v>0</v>
      </c>
      <c r="N70" s="23"/>
    </row>
    <row r="71" spans="1:17" x14ac:dyDescent="0.2">
      <c r="A71" s="49" t="s">
        <v>41</v>
      </c>
      <c r="B71" s="50">
        <v>0</v>
      </c>
      <c r="F71" s="58"/>
      <c r="J71" s="12"/>
      <c r="K71" s="12"/>
      <c r="L71" s="12"/>
      <c r="M71" s="12"/>
    </row>
    <row r="73" spans="1:17" x14ac:dyDescent="0.2">
      <c r="B73" s="58"/>
    </row>
    <row r="74" spans="1:17" s="79" customFormat="1" ht="12.75" x14ac:dyDescent="0.25">
      <c r="A74" s="84" t="s">
        <v>57</v>
      </c>
      <c r="B74" s="84">
        <f>SUM(B3:B4,B63:B64)</f>
        <v>270000</v>
      </c>
      <c r="C74" s="84">
        <f>SUM(C3:C4,C63:C64)</f>
        <v>200000</v>
      </c>
      <c r="D74" s="84">
        <f>SUM(D3:D4,D63:D64)</f>
        <v>214000</v>
      </c>
      <c r="E74" s="84">
        <f>SUM(E3:E4,E63:E64)</f>
        <v>428980</v>
      </c>
      <c r="F74" s="84">
        <f>SUM(F3:F4,F63:F64)</f>
        <v>245008.6</v>
      </c>
      <c r="G74" s="84">
        <f>SUM(G3:G4,G63:G64)</f>
        <v>262159.20200000005</v>
      </c>
      <c r="H74" s="84">
        <f>SUM(H3:H4,H63:H64)</f>
        <v>280510.3461400001</v>
      </c>
      <c r="I74" s="84">
        <f>SUM(I3:I4,I63:I64)</f>
        <v>300146.07036980015</v>
      </c>
      <c r="J74" s="84">
        <f>SUM(J3:J4,J63:J64)</f>
        <v>321156.29529568617</v>
      </c>
      <c r="K74" s="84">
        <f>SUM(K3:K4,K63:K64)</f>
        <v>343637.23596638424</v>
      </c>
      <c r="L74" s="84">
        <f>SUM(L3:L4,L63:L64)</f>
        <v>367691.84248403116</v>
      </c>
      <c r="M74" s="84">
        <f>SUM(M3:M4,M63:M64)</f>
        <v>393430.27145791339</v>
      </c>
      <c r="O74" s="85"/>
      <c r="P74" s="85"/>
      <c r="Q74" s="24"/>
    </row>
    <row r="75" spans="1:17" s="79" customFormat="1" x14ac:dyDescent="0.2">
      <c r="A75" s="84" t="s">
        <v>58</v>
      </c>
      <c r="B75" s="84">
        <f>AVERAGE($B74:B74)</f>
        <v>270000</v>
      </c>
      <c r="C75" s="84">
        <f>AVERAGE($B74:C74)</f>
        <v>235000</v>
      </c>
      <c r="D75" s="84">
        <f>AVERAGE($B74:D74)</f>
        <v>228000</v>
      </c>
      <c r="E75" s="84">
        <f>AVERAGE($B74:E74)</f>
        <v>278245</v>
      </c>
      <c r="F75" s="84">
        <f>AVERAGE($B74:F74)</f>
        <v>271597.72000000003</v>
      </c>
      <c r="G75" s="86">
        <f>AVERAGE($G74:G74)</f>
        <v>262159.20200000005</v>
      </c>
      <c r="H75" s="84">
        <f>AVERAGE($G74:H74)</f>
        <v>271334.77407000004</v>
      </c>
      <c r="I75" s="84">
        <f>AVERAGE($G74:I74)</f>
        <v>280938.53950326674</v>
      </c>
      <c r="J75" s="84">
        <f>AVERAGE($G74:J74)</f>
        <v>290992.9784513716</v>
      </c>
      <c r="K75" s="84">
        <f>AVERAGE($G74:K74)</f>
        <v>301521.82995437412</v>
      </c>
      <c r="L75" s="84">
        <f>AVERAGE($G74:L74)</f>
        <v>312550.16537598363</v>
      </c>
      <c r="M75" s="84">
        <f>AVERAGE($G74:M74)</f>
        <v>324104.46624483075</v>
      </c>
      <c r="O75" s="87"/>
      <c r="P75" s="88"/>
      <c r="Q75" s="89"/>
    </row>
    <row r="76" spans="1:17" s="79" customFormat="1" x14ac:dyDescent="0.2">
      <c r="A76" s="84" t="s">
        <v>59</v>
      </c>
      <c r="B76" s="84">
        <f>MIN(B74:B75)</f>
        <v>270000</v>
      </c>
      <c r="C76" s="84">
        <f t="shared" ref="C76:M76" si="18">MIN(C74:C75)</f>
        <v>200000</v>
      </c>
      <c r="D76" s="84">
        <f t="shared" si="18"/>
        <v>214000</v>
      </c>
      <c r="E76" s="84">
        <f t="shared" si="18"/>
        <v>278245</v>
      </c>
      <c r="F76" s="84">
        <f t="shared" si="18"/>
        <v>245008.6</v>
      </c>
      <c r="G76" s="84">
        <f t="shared" si="18"/>
        <v>262159.20200000005</v>
      </c>
      <c r="H76" s="84">
        <f t="shared" si="18"/>
        <v>271334.77407000004</v>
      </c>
      <c r="I76" s="84">
        <f t="shared" si="18"/>
        <v>280938.53950326674</v>
      </c>
      <c r="J76" s="84">
        <f t="shared" si="18"/>
        <v>290992.9784513716</v>
      </c>
      <c r="K76" s="84">
        <f t="shared" si="18"/>
        <v>301521.82995437412</v>
      </c>
      <c r="L76" s="84">
        <f t="shared" si="18"/>
        <v>312550.16537598363</v>
      </c>
      <c r="M76" s="84">
        <f t="shared" si="18"/>
        <v>324104.46624483075</v>
      </c>
      <c r="O76" s="87"/>
      <c r="P76" s="88"/>
      <c r="Q76" s="89"/>
    </row>
    <row r="78" spans="1:17" x14ac:dyDescent="0.2">
      <c r="A78" s="106" t="s">
        <v>66</v>
      </c>
      <c r="B78" s="102">
        <v>318103.83</v>
      </c>
      <c r="C78" s="84">
        <f>B78</f>
        <v>318103.83</v>
      </c>
      <c r="D78" s="102">
        <v>357166.98</v>
      </c>
      <c r="E78" s="84">
        <f>D78</f>
        <v>357166.98</v>
      </c>
      <c r="F78" s="84">
        <f>E78</f>
        <v>357166.98</v>
      </c>
      <c r="G78" s="102">
        <v>410742.03</v>
      </c>
      <c r="H78" s="84">
        <f t="shared" ref="H78:M78" si="19">G78</f>
        <v>410742.03</v>
      </c>
      <c r="I78" s="84">
        <f t="shared" si="19"/>
        <v>410742.03</v>
      </c>
      <c r="J78" s="102">
        <f>G78*1.15</f>
        <v>472353.3345</v>
      </c>
      <c r="K78" s="84">
        <f t="shared" si="19"/>
        <v>472353.3345</v>
      </c>
      <c r="L78" s="84">
        <f t="shared" si="19"/>
        <v>472353.3345</v>
      </c>
      <c r="M78" s="102">
        <f>J78*1.15</f>
        <v>543206.33467499993</v>
      </c>
    </row>
  </sheetData>
  <conditionalFormatting sqref="A62 E62:J62">
    <cfRule type="cellIs" dxfId="2" priority="3" stopIfTrue="1" operator="equal">
      <formula>"x"</formula>
    </cfRule>
  </conditionalFormatting>
  <conditionalFormatting sqref="K62:M62">
    <cfRule type="cellIs" dxfId="1" priority="2" stopIfTrue="1" operator="equal">
      <formula>"x"</formula>
    </cfRule>
  </conditionalFormatting>
  <conditionalFormatting sqref="B62:D62">
    <cfRule type="cellIs" dxfId="0" priority="1" stopIfTrue="1" operator="equal">
      <formula>"x"</formula>
    </cfRule>
  </conditionalFormatting>
  <pageMargins left="0.19685039370078741" right="0.19685039370078741" top="0.74803149606299213" bottom="0.74803149606299213" header="0.31496062992125984" footer="0.31496062992125984"/>
  <pageSetup paperSize="9" scale="91" orientation="landscape" r:id="rId1"/>
  <headerFooter>
    <oddHeader>&amp;L&amp;F&amp;C&amp;A&amp;R&amp;D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tabSelected="1" zoomScaleNormal="100" workbookViewId="0">
      <pane xSplit="1" ySplit="2" topLeftCell="B3" activePane="bottomRight" state="frozen"/>
      <selection activeCell="J4" sqref="J4"/>
      <selection pane="topRight" activeCell="J4" sqref="J4"/>
      <selection pane="bottomLeft" activeCell="J4" sqref="J4"/>
      <selection pane="bottomRight" activeCell="C14" sqref="C14"/>
    </sheetView>
  </sheetViews>
  <sheetFormatPr baseColWidth="10" defaultColWidth="11.42578125" defaultRowHeight="11.25" x14ac:dyDescent="0.2"/>
  <cols>
    <col min="1" max="1" width="31.42578125" style="4" customWidth="1"/>
    <col min="2" max="2" width="11.42578125" style="5" bestFit="1" customWidth="1"/>
    <col min="3" max="3" width="12.42578125" style="5" customWidth="1"/>
    <col min="4" max="5" width="11.140625" style="5" bestFit="1" customWidth="1"/>
    <col min="6" max="6" width="14.85546875" style="5" customWidth="1"/>
    <col min="7" max="7" width="11.42578125" style="5" bestFit="1" customWidth="1"/>
    <col min="8" max="8" width="11.42578125" style="2" bestFit="1" customWidth="1"/>
    <col min="9" max="9" width="11.42578125" style="5" bestFit="1" customWidth="1"/>
    <col min="10" max="12" width="11.42578125" style="13" bestFit="1" customWidth="1"/>
    <col min="13" max="13" width="12.7109375" style="13" bestFit="1" customWidth="1"/>
    <col min="14" max="14" width="12.140625" style="5" bestFit="1" customWidth="1"/>
    <col min="15" max="16384" width="11.42578125" style="5"/>
  </cols>
  <sheetData>
    <row r="1" spans="1:19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O1" s="4"/>
      <c r="P1" s="58"/>
      <c r="Q1" s="58"/>
      <c r="S1" s="58"/>
    </row>
    <row r="2" spans="1:19" x14ac:dyDescent="0.2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13</v>
      </c>
      <c r="I2" s="6" t="s">
        <v>14</v>
      </c>
      <c r="J2" s="14" t="s">
        <v>15</v>
      </c>
      <c r="K2" s="14" t="s">
        <v>16</v>
      </c>
      <c r="L2" s="14" t="s">
        <v>17</v>
      </c>
      <c r="M2" s="14" t="s">
        <v>18</v>
      </c>
      <c r="N2" s="7" t="s">
        <v>23</v>
      </c>
    </row>
    <row r="3" spans="1:19" x14ac:dyDescent="0.2">
      <c r="A3" s="4" t="s">
        <v>7</v>
      </c>
      <c r="B3" s="100">
        <v>240000</v>
      </c>
      <c r="C3" s="100">
        <v>220000</v>
      </c>
      <c r="D3" s="100">
        <v>225000</v>
      </c>
      <c r="E3" s="64">
        <v>225000</v>
      </c>
      <c r="F3" s="64">
        <v>250000</v>
      </c>
      <c r="G3" s="64">
        <v>270000</v>
      </c>
      <c r="H3" s="64">
        <v>310000</v>
      </c>
      <c r="I3" s="64">
        <v>350000</v>
      </c>
      <c r="J3" s="64">
        <v>270000</v>
      </c>
      <c r="K3" s="64">
        <v>310000</v>
      </c>
      <c r="L3" s="64">
        <v>310000</v>
      </c>
      <c r="M3" s="64">
        <v>310000</v>
      </c>
      <c r="N3" s="8">
        <f>SUM(B3:M3)</f>
        <v>3290000</v>
      </c>
      <c r="O3" s="3"/>
      <c r="P3" s="3"/>
      <c r="Q3" s="58"/>
    </row>
    <row r="4" spans="1:19" x14ac:dyDescent="0.2">
      <c r="A4" s="77" t="s">
        <v>44</v>
      </c>
      <c r="B4" s="100">
        <v>0</v>
      </c>
      <c r="C4" s="100">
        <v>0</v>
      </c>
      <c r="D4" s="64">
        <v>0</v>
      </c>
      <c r="E4" s="64">
        <v>0</v>
      </c>
      <c r="F4" s="64">
        <v>0</v>
      </c>
      <c r="G4" s="64">
        <v>0</v>
      </c>
      <c r="H4" s="64">
        <v>0</v>
      </c>
      <c r="I4" s="64">
        <v>0</v>
      </c>
      <c r="J4" s="64">
        <v>0</v>
      </c>
      <c r="K4" s="64">
        <v>0</v>
      </c>
      <c r="L4" s="64">
        <v>0</v>
      </c>
      <c r="M4" s="64">
        <v>0</v>
      </c>
      <c r="N4" s="8">
        <f t="shared" ref="N4:N39" si="0">SUM(B4:M4)</f>
        <v>0</v>
      </c>
      <c r="P4" s="60"/>
    </row>
    <row r="5" spans="1:19" x14ac:dyDescent="0.2">
      <c r="A5" s="35" t="s">
        <v>30</v>
      </c>
      <c r="B5" s="4">
        <f>B3/12</f>
        <v>20000</v>
      </c>
      <c r="C5" s="4">
        <f t="shared" ref="C5:F5" si="1">C3/12</f>
        <v>18333.333333333332</v>
      </c>
      <c r="D5" s="4">
        <f t="shared" si="1"/>
        <v>18750</v>
      </c>
      <c r="E5" s="4">
        <f t="shared" si="1"/>
        <v>18750</v>
      </c>
      <c r="F5" s="4">
        <f t="shared" si="1"/>
        <v>20833.333333333332</v>
      </c>
      <c r="G5" s="107">
        <f>-SUM(B5:F5)</f>
        <v>-96666.666666666657</v>
      </c>
      <c r="H5" s="4">
        <f t="shared" ref="H5:L5" si="2">H3/12</f>
        <v>25833.333333333332</v>
      </c>
      <c r="I5" s="4">
        <f t="shared" si="2"/>
        <v>29166.666666666668</v>
      </c>
      <c r="J5" s="4">
        <f t="shared" si="2"/>
        <v>22500</v>
      </c>
      <c r="K5" s="4">
        <f t="shared" si="2"/>
        <v>25833.333333333332</v>
      </c>
      <c r="L5" s="4">
        <f t="shared" si="2"/>
        <v>25833.333333333332</v>
      </c>
      <c r="M5" s="107">
        <f>-SUM(H5:L5)</f>
        <v>-129166.66666666666</v>
      </c>
      <c r="N5" s="8">
        <f t="shared" si="0"/>
        <v>0</v>
      </c>
    </row>
    <row r="6" spans="1:19" x14ac:dyDescent="0.2">
      <c r="A6" s="94" t="s">
        <v>62</v>
      </c>
      <c r="B6" s="54"/>
      <c r="C6" s="54"/>
      <c r="D6" s="54"/>
      <c r="E6" s="54"/>
      <c r="F6" s="54"/>
      <c r="G6" s="92">
        <f>MAX(B3:G3)/2</f>
        <v>135000</v>
      </c>
      <c r="H6" s="54">
        <f t="shared" ref="H5:L6" si="3">H4/12</f>
        <v>0</v>
      </c>
      <c r="I6" s="54">
        <f t="shared" si="3"/>
        <v>0</v>
      </c>
      <c r="J6" s="54">
        <f t="shared" si="3"/>
        <v>0</v>
      </c>
      <c r="K6" s="54">
        <f t="shared" si="3"/>
        <v>0</v>
      </c>
      <c r="L6" s="54">
        <f t="shared" si="3"/>
        <v>0</v>
      </c>
      <c r="M6" s="92">
        <f>MAX(H3:M3)/2</f>
        <v>175000</v>
      </c>
      <c r="N6" s="8">
        <f t="shared" si="0"/>
        <v>310000</v>
      </c>
    </row>
    <row r="7" spans="1:19" s="71" customFormat="1" x14ac:dyDescent="0.2">
      <c r="A7" s="69" t="s">
        <v>63</v>
      </c>
      <c r="B7" s="90"/>
      <c r="C7" s="90"/>
      <c r="D7" s="90"/>
      <c r="E7" s="90"/>
      <c r="F7" s="90"/>
      <c r="G7" s="93">
        <f>IF(G74&lt;=Tablas!$J$3,-G6,0)</f>
        <v>-135000</v>
      </c>
      <c r="H7" s="90"/>
      <c r="I7" s="90"/>
      <c r="J7" s="90"/>
      <c r="K7" s="90"/>
      <c r="L7" s="90"/>
      <c r="M7" s="93">
        <f>IF(M74&lt;=Tablas!$J$3,-M6,0)</f>
        <v>0</v>
      </c>
      <c r="N7" s="70">
        <f t="shared" si="0"/>
        <v>-135000</v>
      </c>
      <c r="P7" s="72"/>
      <c r="Q7" s="72"/>
    </row>
    <row r="8" spans="1:19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9" x14ac:dyDescent="0.2">
      <c r="A9" s="77" t="s">
        <v>47</v>
      </c>
      <c r="B9" s="104">
        <f>MIN(B$3,B$78)*(0.17+$B$71)</f>
        <v>40800</v>
      </c>
      <c r="C9" s="104">
        <f t="shared" ref="C9:M9" si="4">MIN(C$3,C$78)*(0.17+$B$71)</f>
        <v>37400</v>
      </c>
      <c r="D9" s="104">
        <f t="shared" si="4"/>
        <v>38250</v>
      </c>
      <c r="E9" s="104">
        <f t="shared" si="4"/>
        <v>38250</v>
      </c>
      <c r="F9" s="104">
        <f t="shared" si="4"/>
        <v>42500</v>
      </c>
      <c r="G9" s="104">
        <f t="shared" si="4"/>
        <v>45900</v>
      </c>
      <c r="H9" s="104">
        <f t="shared" si="4"/>
        <v>52700.000000000007</v>
      </c>
      <c r="I9" s="104">
        <f t="shared" si="4"/>
        <v>59500.000000000007</v>
      </c>
      <c r="J9" s="104">
        <f t="shared" si="4"/>
        <v>45900</v>
      </c>
      <c r="K9" s="104">
        <f t="shared" si="4"/>
        <v>52700.000000000007</v>
      </c>
      <c r="L9" s="104">
        <f t="shared" si="4"/>
        <v>52700.000000000007</v>
      </c>
      <c r="M9" s="104">
        <f t="shared" si="4"/>
        <v>52700.000000000007</v>
      </c>
      <c r="N9" s="8">
        <f t="shared" si="0"/>
        <v>559300</v>
      </c>
    </row>
    <row r="10" spans="1:19" x14ac:dyDescent="0.2">
      <c r="A10" s="40" t="s">
        <v>31</v>
      </c>
      <c r="B10" s="104">
        <f>B9/12</f>
        <v>3400</v>
      </c>
      <c r="C10" s="104">
        <f t="shared" ref="C10:M10" si="5">C9/12</f>
        <v>3116.6666666666665</v>
      </c>
      <c r="D10" s="104">
        <f t="shared" si="5"/>
        <v>3187.5</v>
      </c>
      <c r="E10" s="104">
        <f t="shared" si="5"/>
        <v>3187.5</v>
      </c>
      <c r="F10" s="104">
        <f t="shared" si="5"/>
        <v>3541.6666666666665</v>
      </c>
      <c r="G10" s="104">
        <f t="shared" si="5"/>
        <v>3825</v>
      </c>
      <c r="H10" s="104">
        <f t="shared" si="5"/>
        <v>4391.666666666667</v>
      </c>
      <c r="I10" s="104">
        <f t="shared" si="5"/>
        <v>4958.3333333333339</v>
      </c>
      <c r="J10" s="104">
        <f t="shared" si="5"/>
        <v>3825</v>
      </c>
      <c r="K10" s="104">
        <f t="shared" si="5"/>
        <v>4391.666666666667</v>
      </c>
      <c r="L10" s="104">
        <f t="shared" si="5"/>
        <v>4391.666666666667</v>
      </c>
      <c r="M10" s="104">
        <f t="shared" si="5"/>
        <v>4391.666666666667</v>
      </c>
      <c r="N10" s="8">
        <f t="shared" si="0"/>
        <v>46608.333333333328</v>
      </c>
    </row>
    <row r="11" spans="1:19" x14ac:dyDescent="0.2">
      <c r="A11" s="9" t="s">
        <v>8</v>
      </c>
      <c r="B11" s="9">
        <f>SUM(B3:B6)-SUM(B9:B10)</f>
        <v>215800</v>
      </c>
      <c r="C11" s="9">
        <f t="shared" ref="C11:M11" si="6">SUM(C3:C6)-SUM(C9:C10)</f>
        <v>197816.66666666669</v>
      </c>
      <c r="D11" s="9">
        <f t="shared" si="6"/>
        <v>202312.5</v>
      </c>
      <c r="E11" s="9">
        <f t="shared" si="6"/>
        <v>202312.5</v>
      </c>
      <c r="F11" s="9">
        <f t="shared" si="6"/>
        <v>224791.66666666666</v>
      </c>
      <c r="G11" s="9">
        <f t="shared" si="6"/>
        <v>258608.33333333337</v>
      </c>
      <c r="H11" s="9">
        <f t="shared" si="6"/>
        <v>278741.66666666663</v>
      </c>
      <c r="I11" s="9">
        <f t="shared" si="6"/>
        <v>314708.33333333337</v>
      </c>
      <c r="J11" s="9">
        <f t="shared" si="6"/>
        <v>242775</v>
      </c>
      <c r="K11" s="9">
        <f t="shared" si="6"/>
        <v>278741.66666666663</v>
      </c>
      <c r="L11" s="9">
        <f t="shared" si="6"/>
        <v>278741.66666666663</v>
      </c>
      <c r="M11" s="9">
        <f t="shared" si="6"/>
        <v>298741.66666666669</v>
      </c>
      <c r="N11" s="10">
        <f t="shared" si="0"/>
        <v>2994091.6666666665</v>
      </c>
    </row>
    <row r="12" spans="1:19" x14ac:dyDescent="0.2">
      <c r="B12" s="9"/>
      <c r="C12" s="58"/>
      <c r="D12" s="58"/>
      <c r="H12" s="9"/>
    </row>
    <row r="13" spans="1:19" x14ac:dyDescent="0.2">
      <c r="A13" s="35" t="s">
        <v>27</v>
      </c>
      <c r="B13" s="4">
        <f>IF(COUNTIF(C$62:$M$62,"A")&gt;0,0,SUM($B63:B64)/IF(B$62="x",1,(COUNTA(B$2:$M$2))))</f>
        <v>1666.6666666666667</v>
      </c>
      <c r="C13" s="4">
        <f>IF(COUNTIF(D$62:$M$62,"A")&gt;0,0,(SUM($B63:C64)-SUM($B13:B13))/IF(C$62="x",1,COUNTA(C$2:$M$2)))</f>
        <v>1666.6666666666665</v>
      </c>
      <c r="D13" s="4">
        <f>IF(COUNTIF(E$62:$M$62,"A")&gt;0,0,(SUM($B63:D64)-SUM($B13:C13))/IF(D$62="x",1,COUNTA(D$2:$M$2)))</f>
        <v>1666.6666666666667</v>
      </c>
      <c r="E13" s="4">
        <f>IF(COUNTIF(F$62:$M$62,"A")&gt;0,0,(SUM($B63:E64)-SUM($B13:D13))/IF(E$62="x",1,COUNTA(E$2:$M$2)))</f>
        <v>23888.888888888891</v>
      </c>
      <c r="F13" s="4">
        <f>IF(COUNTIF(G$62:$M$62,"A")&gt;0,0,(SUM($B63:F64)-SUM($B13:E13))/IF(F$62="x",1,COUNTA(F$2:$M$2)))</f>
        <v>23888.888888888891</v>
      </c>
      <c r="G13" s="4">
        <f>IF(COUNTIF(H$62:$M$62,"A")&gt;0,0,(SUM($B63:G64)-SUM($B13:F13))/IF(G$62="x",1,COUNTA(G$2:$M$2)))</f>
        <v>23888.888888888887</v>
      </c>
      <c r="H13" s="4">
        <f>IF(COUNTIF(I$62:$M$62,"A")&gt;0,0,(SUM($B63:H64)-SUM($B13:G13))/IF(H$62="x",1,COUNTA(H$2:$M$2)))</f>
        <v>23888.888888888887</v>
      </c>
      <c r="I13" s="4">
        <f>IF(COUNTIF(J$62:$M$62,"A")&gt;0,0,(SUM($B63:I64)-SUM($B13:H13))/IF(I$62="x",1,COUNTA(I$2:$M$2)))</f>
        <v>23888.888888888887</v>
      </c>
      <c r="J13" s="4">
        <f>IF(COUNTIF(K$62:$M$62,"A")&gt;0,0,(SUM($B63:J64)-SUM($B13:I13))/IF(J$62="x",1,COUNTA(J$2:$M$2)))</f>
        <v>23888.888888888887</v>
      </c>
      <c r="K13" s="4">
        <f>IF(COUNTIF(L$62:$M$62,"A")&gt;0,0,(SUM($B63:K64)-SUM($B13:J13))/IF(K$62="x",1,COUNTA(K$2:$M$2)))</f>
        <v>23888.888888888887</v>
      </c>
      <c r="L13" s="4">
        <f>IF(COUNTIF(M$62:$M$62,"A")&gt;0,0,(SUM($B63:L64)-SUM($B13:K13))/IF(L$62="x",1,COUNTA(L$2:$M$2)))</f>
        <v>23888.888888888891</v>
      </c>
      <c r="M13" s="4">
        <f>IF(COUNTIF($M$62:N$62,"A")&gt;0,0,(SUM($B63:M64)-SUM($B13:L13))/IF(M$62="x",1,COUNTA(M$2:$M$2)))</f>
        <v>23888.888888888876</v>
      </c>
      <c r="N13" s="8">
        <f t="shared" si="0"/>
        <v>220000</v>
      </c>
    </row>
    <row r="14" spans="1:19" x14ac:dyDescent="0.2">
      <c r="A14" s="35" t="s">
        <v>28</v>
      </c>
      <c r="B14" s="4">
        <f>IF(COUNTIF(C$62:$M$62,"A")&gt;0,0,SUM($B65:B66)/IF(B$62="x",1,(COUNTA(B$2:$M$2))))</f>
        <v>283.33333333333331</v>
      </c>
      <c r="C14" s="4">
        <f>IF(COUNTIF(D$62:$M$62,"A")&gt;0,0,(SUM($B65:C66)-SUM($B14:B14))/IF(C$62="x",1,COUNTA(C$2:$M$2)))</f>
        <v>283.33333333333331</v>
      </c>
      <c r="D14" s="4">
        <f>IF(COUNTIF(E$62:$M$62,"A")&gt;0,0,(SUM($B65:D66)-SUM($B14:C14))/IF(D$62="x",1,COUNTA(D$2:$M$2)))</f>
        <v>283.33333333333337</v>
      </c>
      <c r="E14" s="4">
        <f>IF(COUNTIF(F$62:$M$62,"A")&gt;0,0,(SUM($B65:E66)-SUM($B14:D14))/IF(E$62="x",1,COUNTA(E$2:$M$2)))</f>
        <v>2779.820733333333</v>
      </c>
      <c r="F14" s="4">
        <f>IF(COUNTIF(G$62:$M$62,"A")&gt;0,0,(SUM($B65:F66)-SUM($B14:E14))/IF(F$62="x",1,COUNTA(F$2:$M$2)))</f>
        <v>2779.820733333333</v>
      </c>
      <c r="G14" s="4">
        <f>IF(COUNTIF(H$62:$M$62,"A")&gt;0,0,(SUM($B65:G66)-SUM($B14:F14))/IF(G$62="x",1,COUNTA(G$2:$M$2)))</f>
        <v>2779.820733333333</v>
      </c>
      <c r="H14" s="4">
        <f>IF(COUNTIF(I$62:$M$62,"A")&gt;0,0,(SUM($B65:H66)-SUM($B14:G14))/IF(H$62="x",1,COUNTA(H$2:$M$2)))</f>
        <v>2779.8207333333335</v>
      </c>
      <c r="I14" s="4">
        <f>IF(COUNTIF(J$62:$M$62,"A")&gt;0,0,(SUM($B65:I66)-SUM($B14:H14))/IF(I$62="x",1,COUNTA(I$2:$M$2)))</f>
        <v>2779.820733333333</v>
      </c>
      <c r="J14" s="4">
        <f>IF(COUNTIF(K$62:$M$62,"A")&gt;0,0,(SUM($B65:J66)-SUM($B14:I14))/IF(J$62="x",1,COUNTA(J$2:$M$2)))</f>
        <v>2779.820733333333</v>
      </c>
      <c r="K14" s="4">
        <f>IF(COUNTIF(L$62:$M$62,"A")&gt;0,0,(SUM($B65:K66)-SUM($B14:J14))/IF(K$62="x",1,COUNTA(K$2:$M$2)))</f>
        <v>2779.8207333333326</v>
      </c>
      <c r="L14" s="4">
        <f>IF(COUNTIF(M$62:$M$62,"A")&gt;0,0,(SUM($B65:L66)-SUM($B14:K14))/IF(L$62="x",1,COUNTA(L$2:$M$2)))</f>
        <v>2779.8207333333321</v>
      </c>
      <c r="M14" s="4">
        <f>IF(COUNTIF($M$62:N$62,"A")&gt;0,0,(SUM($B65:M66)-SUM($B14:L14))/IF(M$62="x",1,COUNTA(M$2:$M$2)))</f>
        <v>2779.8207333333339</v>
      </c>
      <c r="N14" s="8">
        <f t="shared" si="0"/>
        <v>25868.386599999998</v>
      </c>
    </row>
    <row r="15" spans="1:19" x14ac:dyDescent="0.2">
      <c r="B15" s="9"/>
      <c r="D15" s="58"/>
      <c r="G15" s="58"/>
      <c r="H15" s="9"/>
      <c r="J15" s="5"/>
      <c r="K15" s="5"/>
      <c r="L15" s="5"/>
      <c r="M15" s="5"/>
    </row>
    <row r="16" spans="1:19" x14ac:dyDescent="0.2">
      <c r="A16" s="9" t="s">
        <v>9</v>
      </c>
      <c r="B16" s="9">
        <f>B13-B14</f>
        <v>1383.3333333333335</v>
      </c>
      <c r="C16" s="9">
        <f t="shared" ref="C16:M16" si="7">C13-C14</f>
        <v>1383.3333333333333</v>
      </c>
      <c r="D16" s="9">
        <f t="shared" si="7"/>
        <v>1383.3333333333335</v>
      </c>
      <c r="E16" s="9">
        <f t="shared" si="7"/>
        <v>21109.068155555557</v>
      </c>
      <c r="F16" s="9">
        <f t="shared" si="7"/>
        <v>21109.068155555557</v>
      </c>
      <c r="G16" s="9">
        <f t="shared" si="7"/>
        <v>21109.068155555553</v>
      </c>
      <c r="H16" s="9">
        <f t="shared" si="7"/>
        <v>21109.068155555553</v>
      </c>
      <c r="I16" s="9">
        <f t="shared" si="7"/>
        <v>21109.068155555553</v>
      </c>
      <c r="J16" s="9">
        <f t="shared" si="7"/>
        <v>21109.068155555553</v>
      </c>
      <c r="K16" s="9">
        <f t="shared" si="7"/>
        <v>21109.068155555553</v>
      </c>
      <c r="L16" s="9">
        <f t="shared" si="7"/>
        <v>21109.068155555557</v>
      </c>
      <c r="M16" s="9">
        <f t="shared" si="7"/>
        <v>21109.068155555542</v>
      </c>
      <c r="N16" s="10">
        <f t="shared" si="0"/>
        <v>194131.61339999997</v>
      </c>
    </row>
    <row r="17" spans="1:19" x14ac:dyDescent="0.2">
      <c r="E17" s="3"/>
      <c r="H17" s="5"/>
    </row>
    <row r="18" spans="1:19" x14ac:dyDescent="0.2">
      <c r="A18" s="4" t="s">
        <v>10</v>
      </c>
      <c r="B18" s="100">
        <v>0</v>
      </c>
      <c r="C18" s="100">
        <v>0</v>
      </c>
      <c r="D18" s="100">
        <v>0</v>
      </c>
      <c r="E18" s="100">
        <v>0</v>
      </c>
      <c r="F18" s="100">
        <v>0</v>
      </c>
      <c r="G18" s="100">
        <v>0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8">
        <f t="shared" si="0"/>
        <v>0</v>
      </c>
      <c r="P18" s="61"/>
      <c r="Q18" s="61"/>
    </row>
    <row r="19" spans="1:19" x14ac:dyDescent="0.2">
      <c r="A19" s="4" t="s">
        <v>21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8">
        <f t="shared" si="0"/>
        <v>0</v>
      </c>
      <c r="P19" s="61"/>
      <c r="Q19" s="61"/>
    </row>
    <row r="20" spans="1:19" x14ac:dyDescent="0.2">
      <c r="A20" s="4" t="s">
        <v>22</v>
      </c>
      <c r="B20" s="100">
        <v>0</v>
      </c>
      <c r="C20" s="100">
        <v>0</v>
      </c>
      <c r="D20" s="100">
        <v>0</v>
      </c>
      <c r="E20" s="100">
        <v>0</v>
      </c>
      <c r="F20" s="100">
        <v>0</v>
      </c>
      <c r="G20" s="100">
        <v>0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8">
        <f t="shared" si="0"/>
        <v>0</v>
      </c>
      <c r="P20" s="61"/>
      <c r="Q20" s="61"/>
    </row>
    <row r="21" spans="1:19" x14ac:dyDescent="0.2">
      <c r="A21" s="77" t="s">
        <v>50</v>
      </c>
      <c r="B21" s="100">
        <v>0</v>
      </c>
      <c r="C21" s="100">
        <v>0</v>
      </c>
      <c r="D21" s="100">
        <v>0</v>
      </c>
      <c r="E21" s="100">
        <v>0</v>
      </c>
      <c r="F21" s="100">
        <v>0</v>
      </c>
      <c r="G21" s="100">
        <v>0</v>
      </c>
      <c r="H21" s="100">
        <v>0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8">
        <f t="shared" si="0"/>
        <v>0</v>
      </c>
      <c r="P21" s="61"/>
      <c r="Q21" s="61"/>
    </row>
    <row r="22" spans="1:19" x14ac:dyDescent="0.2">
      <c r="A22" s="4" t="s">
        <v>25</v>
      </c>
      <c r="B22" s="100">
        <v>0</v>
      </c>
      <c r="C22" s="100">
        <v>0</v>
      </c>
      <c r="D22" s="100">
        <v>0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8">
        <f t="shared" si="0"/>
        <v>0</v>
      </c>
      <c r="P22" s="61"/>
      <c r="Q22" s="61"/>
    </row>
    <row r="23" spans="1:19" x14ac:dyDescent="0.2">
      <c r="A23" s="76" t="s">
        <v>43</v>
      </c>
      <c r="B23" s="100">
        <v>0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8">
        <f t="shared" si="0"/>
        <v>0</v>
      </c>
      <c r="P23" s="61"/>
      <c r="Q23" s="61"/>
    </row>
    <row r="24" spans="1:19" x14ac:dyDescent="0.2">
      <c r="A24" s="77" t="s">
        <v>51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8">
        <f t="shared" si="0"/>
        <v>0</v>
      </c>
      <c r="P24" s="61"/>
      <c r="Q24" s="61"/>
    </row>
    <row r="25" spans="1:19" x14ac:dyDescent="0.2">
      <c r="A25" s="77" t="s">
        <v>45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8">
        <f t="shared" si="0"/>
        <v>0</v>
      </c>
      <c r="P25" s="61"/>
      <c r="Q25" s="61"/>
    </row>
    <row r="26" spans="1:19" x14ac:dyDescent="0.2">
      <c r="A26" s="68" t="s">
        <v>42</v>
      </c>
      <c r="B26" s="100">
        <v>0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8">
        <f t="shared" si="0"/>
        <v>0</v>
      </c>
      <c r="P26" s="61"/>
      <c r="Q26" s="61"/>
    </row>
    <row r="27" spans="1:19" x14ac:dyDescent="0.2">
      <c r="A27" s="77" t="s">
        <v>52</v>
      </c>
      <c r="B27" s="100">
        <v>0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8">
        <f t="shared" si="0"/>
        <v>0</v>
      </c>
      <c r="P27" s="61"/>
      <c r="Q27" s="61"/>
    </row>
    <row r="28" spans="1:19" s="19" customFormat="1" x14ac:dyDescent="0.2">
      <c r="A28" s="18"/>
      <c r="B28" s="18"/>
      <c r="G28" s="59"/>
      <c r="H28" s="20"/>
      <c r="J28" s="21"/>
      <c r="K28" s="21"/>
      <c r="L28" s="21"/>
      <c r="M28" s="21"/>
      <c r="P28" s="61"/>
      <c r="Q28" s="61"/>
    </row>
    <row r="29" spans="1:19" s="71" customFormat="1" x14ac:dyDescent="0.2">
      <c r="A29" s="69" t="s">
        <v>53</v>
      </c>
      <c r="B29" s="91">
        <f>IF(B76&lt;=Tablas!$G$3, MAX(0,B11+B16-SUM(B18:B27,B32:B37)),0)</f>
        <v>0</v>
      </c>
      <c r="C29" s="91">
        <f>IF(C76&lt;=Tablas!$G$3, MAX(0,C11+C16-SUM(C18:C27,C32:C37)),0)</f>
        <v>47610.392333333381</v>
      </c>
      <c r="D29" s="91">
        <f>IF(D76&lt;=Tablas!$G$3, MAX(0,D11+D16-SUM(D18:D27,D32:D37)),0)</f>
        <v>52106.225666666665</v>
      </c>
      <c r="E29" s="91">
        <f>IF(E76&lt;=Tablas!$G$3, MAX(0,E11+E16-SUM(E18:E27,E32:E37)),0)</f>
        <v>0</v>
      </c>
      <c r="F29" s="91">
        <f>IF(F76&lt;=Tablas!$G$3, MAX(0,F11+F16-SUM(F18:F27,F32:F37)),0)</f>
        <v>0</v>
      </c>
      <c r="G29" s="91">
        <f>IF(G76&lt;=Tablas!$J$3, MAX(0,G11+G16-SUM(G18:G27,G32:G37)),0)</f>
        <v>128127.79382222224</v>
      </c>
      <c r="H29" s="91">
        <f>IF(H76&lt;=Tablas!$J$3, MAX(0,H11+H16-SUM(H18:H27,H32:H37)),0)</f>
        <v>0</v>
      </c>
      <c r="I29" s="91">
        <f>IF(I76&lt;=Tablas!$J$3, MAX(0,I11+I16-SUM(I18:I27,I32:I37)),0)</f>
        <v>0</v>
      </c>
      <c r="J29" s="91">
        <f>IF(J76&lt;=Tablas!$J$3, MAX(0,J11+J16-SUM(J18:J27,J32:J37)),0)</f>
        <v>112294.4604888889</v>
      </c>
      <c r="K29" s="91">
        <f>IF(K76&lt;=Tablas!$J$3, MAX(0,K11+K16-SUM(K18:K27,K32:K37)),0)</f>
        <v>0</v>
      </c>
      <c r="L29" s="91">
        <f>IF(L76&lt;=Tablas!$J$3, MAX(0,L11+L16-SUM(L18:L27,L32:L37)),0)</f>
        <v>0</v>
      </c>
      <c r="M29" s="91">
        <f>IF(M76&lt;=Tablas!$J$3, MAX(0,M11+M16-SUM(M18:M27,M32:M37)),0)</f>
        <v>0</v>
      </c>
      <c r="N29" s="70">
        <f t="shared" si="0"/>
        <v>340138.87231111119</v>
      </c>
      <c r="P29" s="72"/>
      <c r="Q29" s="72"/>
    </row>
    <row r="30" spans="1:19" s="71" customFormat="1" x14ac:dyDescent="0.2">
      <c r="A30" s="69" t="s">
        <v>54</v>
      </c>
      <c r="B30" s="91">
        <f>VLOOKUP(B76,Tablas!$G:$H,2)</f>
        <v>709</v>
      </c>
      <c r="C30" s="91">
        <f>VLOOKUP(C76,Tablas!$G:$H,2)</f>
        <v>0</v>
      </c>
      <c r="D30" s="91">
        <f>VLOOKUP(D76,Tablas!$G:$H,2)</f>
        <v>0</v>
      </c>
      <c r="E30" s="91">
        <f>VLOOKUP(E76,Tablas!$G:$H,2)</f>
        <v>0</v>
      </c>
      <c r="F30" s="91">
        <f>VLOOKUP(F76,Tablas!$G:$H,2)</f>
        <v>17024</v>
      </c>
      <c r="G30" s="93">
        <f>VLOOKUP(G76,Tablas!$J:$K,2)</f>
        <v>0</v>
      </c>
      <c r="H30" s="91">
        <f>VLOOKUP(H76,Tablas!$J:$K,2)</f>
        <v>79910.2</v>
      </c>
      <c r="I30" s="91">
        <f>VLOOKUP(I76,Tablas!$J:$K,2)</f>
        <v>30662.04</v>
      </c>
      <c r="J30" s="91">
        <f>VLOOKUP(J76,Tablas!$J:$K,2)</f>
        <v>0</v>
      </c>
      <c r="K30" s="91">
        <f>VLOOKUP(K76,Tablas!$J:$K,2)</f>
        <v>49399.61</v>
      </c>
      <c r="L30" s="91">
        <f>VLOOKUP(L76,Tablas!$J:$K,2)</f>
        <v>46277.04</v>
      </c>
      <c r="M30" s="91">
        <f>VLOOKUP(M76,Tablas!$J:$K,2)</f>
        <v>44065.46</v>
      </c>
      <c r="N30" s="70">
        <f t="shared" si="0"/>
        <v>268047.34999999998</v>
      </c>
      <c r="P30" s="72"/>
      <c r="Q30" s="72"/>
    </row>
    <row r="31" spans="1:19" s="71" customFormat="1" x14ac:dyDescent="0.2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P31" s="72"/>
      <c r="Q31" s="72"/>
    </row>
    <row r="32" spans="1:19" ht="12.75" x14ac:dyDescent="0.25">
      <c r="A32" s="4" t="s">
        <v>12</v>
      </c>
      <c r="B32" s="4">
        <f>O32</f>
        <v>101025.936</v>
      </c>
      <c r="C32" s="4">
        <f>IF(COUNTIF($B$62:B$62,"x")&gt;0,0,IF(C$62="A",$O32*COUNTA($A32:B32),IF(COUNTIF(D$62:$M$62,"A")&gt;0,0,$O32*IF(C$62="x",12,COUNTA($A32:B32))-SUM($B32:B32))))</f>
        <v>101025.936</v>
      </c>
      <c r="D32" s="4">
        <f>IF(COUNTIF($B$62:C$62,"x")&gt;0,0,IF(D$62="A",$O32*COUNTA($A32:C32),IF(COUNTIF(E$62:$M$62,"A")&gt;0,0,$O32*IF(D$62="x",12,COUNTA($A32:C32))-SUM($B32:C32))))</f>
        <v>101025.93600000002</v>
      </c>
      <c r="E32" s="4">
        <f>IF(COUNTIF($B$62:D$62,"x")&gt;0,0,IF(E$62="A",$O32*COUNTA($A32:D32),IF(COUNTIF(F$62:$M$62,"A")&gt;0,0,$O32*IF(E$62="x",12,COUNTA($A32:D32))-SUM($B32:D32))))</f>
        <v>101025.93599999999</v>
      </c>
      <c r="F32" s="4">
        <f>IF(COUNTIF($B$62:E$62,"x")&gt;0,0,IF(F$62="A",$O32*COUNTA($A32:E32),IF(COUNTIF(G$62:$M$62,"A")&gt;0,0,$O32*IF(F$62="x",12,COUNTA($A32:E32))-SUM($B32:E32))))</f>
        <v>101025.93599999999</v>
      </c>
      <c r="G32" s="4">
        <f>IF(COUNTIF($B$62:F$62,"x")&gt;0,0,IF(G$62="A",$O32*COUNTA($A32:F32),IF(COUNTIF(H$62:$M$62,"A")&gt;0,0,$O32*IF(G$62="x",12,COUNTA($A32:F32))-SUM($B32:F32))))</f>
        <v>101025.93600000005</v>
      </c>
      <c r="H32" s="4">
        <f>IF(COUNTIF($B$62:G$62,"x")&gt;0,0,IF(H$62="A",$O32*COUNTA($A32:G32),IF(COUNTIF(I$62:$M$62,"A")&gt;0,0,$O32*IF(H$62="x",12,COUNTA($A32:G32))-SUM($B32:G32))))</f>
        <v>101025.93599999999</v>
      </c>
      <c r="I32" s="4">
        <f>IF(COUNTIF($B$62:H$62,"x")&gt;0,0,IF(I$62="A",$O32*COUNTA($A32:H32),IF(COUNTIF(J$62:$M$62,"A")&gt;0,0,$O32*IF(I$62="x",12,COUNTA($A32:H32))-SUM($B32:H32))))</f>
        <v>101025.93599999999</v>
      </c>
      <c r="J32" s="4">
        <f>IF(COUNTIF($B$62:I$62,"x")&gt;0,0,IF(J$62="A",$O32*COUNTA($A32:I32),IF(COUNTIF(K$62:$M$62,"A")&gt;0,0,$O32*IF(J$62="x",12,COUNTA($A32:I32))-SUM($B32:I32))))</f>
        <v>101025.93599999999</v>
      </c>
      <c r="K32" s="4">
        <f>IF(COUNTIF($B$62:J$62,"x")&gt;0,0,IF(K$62="A",$O32*COUNTA($A32:J32),IF(COUNTIF(L$62:$M$62,"A")&gt;0,0,$O32*IF(K$62="x",12,COUNTA($A32:J32))-SUM($B32:J32))))</f>
        <v>101025.93599999999</v>
      </c>
      <c r="L32" s="4">
        <f>IF(COUNTIF($B$62:K$62,"x")&gt;0,0,IF(L$62="A",$O32*COUNTA($A32:K32),IF(COUNTIF(M$62:$M$62,"A")&gt;0,0,$O32*IF(L$62="x",12,COUNTA($A32:K32))-SUM($B32:K32))))</f>
        <v>101025.9360000001</v>
      </c>
      <c r="M32" s="4">
        <f>IF(COUNTIF($B$62:L$62,"x")&gt;0,0,IF(M$62="A",$O32*COUNTA($A32:L32),IF(COUNTIF($M$62:N$62,"A")&gt;0,0,$O32*IF(M$62="x",12,COUNTA($A32:L32))-SUM($B32:L32))))</f>
        <v>101025.93599999999</v>
      </c>
      <c r="N32" s="8">
        <f t="shared" si="0"/>
        <v>1212311.2320000001</v>
      </c>
      <c r="O32" s="31">
        <f>O33*4.8</f>
        <v>101025.936</v>
      </c>
      <c r="P32" s="31">
        <f>ROUND(P33*4.8,2)+0.01</f>
        <v>1212311.24</v>
      </c>
      <c r="Q32" s="61"/>
      <c r="R32" s="62"/>
      <c r="S32" s="3"/>
    </row>
    <row r="33" spans="1:19" ht="12.75" x14ac:dyDescent="0.25">
      <c r="A33" s="4" t="s">
        <v>11</v>
      </c>
      <c r="B33" s="4">
        <f>O33</f>
        <v>21047.07</v>
      </c>
      <c r="C33" s="4">
        <f t="shared" ref="C33:M33" si="8">C32/4.8</f>
        <v>21047.07</v>
      </c>
      <c r="D33" s="4">
        <f t="shared" si="8"/>
        <v>21047.070000000003</v>
      </c>
      <c r="E33" s="4">
        <f t="shared" si="8"/>
        <v>21047.07</v>
      </c>
      <c r="F33" s="4">
        <f t="shared" si="8"/>
        <v>21047.07</v>
      </c>
      <c r="G33" s="4">
        <f t="shared" si="8"/>
        <v>21047.070000000011</v>
      </c>
      <c r="H33" s="4">
        <f t="shared" si="8"/>
        <v>21047.07</v>
      </c>
      <c r="I33" s="4">
        <f t="shared" si="8"/>
        <v>21047.07</v>
      </c>
      <c r="J33" s="4">
        <f t="shared" si="8"/>
        <v>21047.07</v>
      </c>
      <c r="K33" s="4">
        <f t="shared" si="8"/>
        <v>21047.07</v>
      </c>
      <c r="L33" s="4">
        <f t="shared" si="8"/>
        <v>21047.070000000022</v>
      </c>
      <c r="M33" s="4">
        <f t="shared" si="8"/>
        <v>21047.07</v>
      </c>
      <c r="N33" s="8">
        <f t="shared" si="0"/>
        <v>252564.84000000008</v>
      </c>
      <c r="O33" s="31">
        <f>P33/12</f>
        <v>21047.07</v>
      </c>
      <c r="P33" s="31">
        <v>252564.84</v>
      </c>
      <c r="Q33" s="61"/>
      <c r="R33" s="61"/>
      <c r="S33" s="3"/>
    </row>
    <row r="34" spans="1:19" ht="12.75" x14ac:dyDescent="0.25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8"/>
      <c r="O34" s="31"/>
      <c r="P34" s="103"/>
      <c r="Q34" s="61"/>
      <c r="R34" s="61"/>
    </row>
    <row r="35" spans="1:19" ht="12.75" x14ac:dyDescent="0.25">
      <c r="A35" s="101" t="s">
        <v>65</v>
      </c>
      <c r="B35" s="4">
        <f>IF(B$62="A",$O35*B68,IF(COUNTIF(C$62:$M$62,"A")&gt;0,0,$O35*IF(B$62="x",12,1)*B68))</f>
        <v>19621.4375</v>
      </c>
      <c r="C35" s="4">
        <f>IF(COUNTIF($B$62:B$62,"x")&gt;0,0,IF(C$62="A",$O35*COUNTA($A35:B35)*C68,IF(COUNTIF(D$62:$M$62,"A")&gt;0,0,$O35*IF(C$62="x",12,COUNTA($A35:B35))*C68-SUM($B35:B35))))</f>
        <v>19621.4375</v>
      </c>
      <c r="D35" s="4">
        <f>IF(COUNTIF($B$62:C$62,"x")&gt;0,0,IF(D$62="A",$O35*COUNTA($A35:C35)*D68,IF(COUNTIF(E$62:$M$62,"A")&gt;0,0,$O35*IF(D$62="x",12,COUNTA($A35:C35))*D68-SUM($B35:C35))))</f>
        <v>19621.4375</v>
      </c>
      <c r="E35" s="4">
        <f>IF(COUNTIF($B$62:D$62,"x")&gt;0,0,IF(E$62="A",$O35*COUNTA($A35:D35)*E68,IF(COUNTIF(F$62:$M$62,"A")&gt;0,0,$O35*IF(E$62="x",12,COUNTA($A35:D35))*E68-SUM($B35:D35))))</f>
        <v>19621.4375</v>
      </c>
      <c r="F35" s="4">
        <f>IF(COUNTIF($B$62:E$62,"x")&gt;0,0,IF(F$62="A",$O35*COUNTA($A35:E35)*F68,IF(COUNTIF(G$62:$M$62,"A")&gt;0,0,$O35*IF(F$62="x",12,COUNTA($A35:E35))*F68-SUM($B35:E35))))</f>
        <v>19621.4375</v>
      </c>
      <c r="G35" s="4">
        <f>IF(COUNTIF($B$62:F$62,"x")&gt;0,0,IF(G$62="A",$O35*COUNTA($A35:F35)*G68,IF(COUNTIF(H$62:$M$62,"A")&gt;0,0,$O35*IF(G$62="x",12,COUNTA($A35:F35))*G68-SUM($B35:F35))))</f>
        <v>19621.4375</v>
      </c>
      <c r="H35" s="4">
        <f>IF(COUNTIF($B$62:G$62,"x")&gt;0,0,IF(H$62="A",$O35*COUNTA($A35:G35)*H68,IF(COUNTIF(I$62:$M$62,"A")&gt;0,0,$O35*IF(H$62="x",12,COUNTA($A35:G35))*H68-SUM($B35:G35))))</f>
        <v>19621.4375</v>
      </c>
      <c r="I35" s="4">
        <f>IF(COUNTIF($B$62:H$62,"x")&gt;0,0,IF(I$62="A",$O35*COUNTA($A35:H35)*I68,IF(COUNTIF(J$62:$M$62,"A")&gt;0,0,$O35*IF(I$62="x",12,COUNTA($A35:H35))*I68-SUM($B35:H35))))</f>
        <v>19621.4375</v>
      </c>
      <c r="J35" s="4">
        <f>IF(COUNTIF($B$62:I$62,"x")&gt;0,0,IF(J$62="A",$O35*COUNTA($A35:I35)*J68,IF(COUNTIF(K$62:$M$62,"A")&gt;0,0,$O35*IF(J$62="x",12,COUNTA($A35:I35))*J68-SUM($B35:I35))))</f>
        <v>19621.4375</v>
      </c>
      <c r="K35" s="4">
        <f>IF(COUNTIF($B$62:J$62,"x")&gt;0,0,IF(K$62="A",$O35*COUNTA($A35:J35)*K68,IF(COUNTIF(L$62:$M$62,"A")&gt;0,0,$O35*IF(K$62="x",12,COUNTA($A35:J35))*K68-SUM($B35:J35))))</f>
        <v>19621.4375</v>
      </c>
      <c r="L35" s="4">
        <f>IF(COUNTIF($B$62:K$62,"x")&gt;0,0,IF(L$62="A",$O35*COUNTA($A35:K35)*L68,IF(COUNTIF(M$62:$M$62,"A")&gt;0,0,$O35*IF(L$62="x",12,COUNTA($A35:K35))*L68-SUM($B35:K35))))</f>
        <v>19621.4375</v>
      </c>
      <c r="M35" s="4">
        <f>IF(COUNTIF($B$62:L$62,"x")&gt;0,0,IF(M$62="A",$O35*COUNTA($A35:L35)*M68,IF(COUNTIF($M$62:N$62,"A")&gt;0,0,$O35*IF(M$62="x",12,COUNTA($A35:L35))*M68-SUM($B35:L35))))</f>
        <v>19621.4375</v>
      </c>
      <c r="N35" s="8">
        <f t="shared" si="0"/>
        <v>235457.25</v>
      </c>
      <c r="O35" s="31">
        <f>P35/12</f>
        <v>19621.4375</v>
      </c>
      <c r="P35" s="31">
        <v>235457.25</v>
      </c>
    </row>
    <row r="36" spans="1:19" ht="12.75" x14ac:dyDescent="0.25">
      <c r="A36" s="4" t="s">
        <v>19</v>
      </c>
      <c r="B36" s="4">
        <f>IF(B$62="A",$O36*B69,IF(COUNTIF(C$62:$M$62,"A")&gt;0,0,$O36*IF(B$62="x",12,1)*B69))</f>
        <v>9895.1641666666674</v>
      </c>
      <c r="C36" s="4">
        <f>IF(COUNTIF($B$62:B$62,"x")&gt;0,0,IF(C$62="A",$O36*COUNTA($A36:B36)*C69,IF(COUNTIF(D$62:$M$62,"A")&gt;0,0,$O36*IF(C$62="x",12,COUNTA($A36:B36))*C69-SUM($B36:B36))))</f>
        <v>9895.1641666666674</v>
      </c>
      <c r="D36" s="4">
        <f>IF(COUNTIF($B$62:C$62,"x")&gt;0,0,IF(D$62="A",$O36*COUNTA($A36:C36)*D69,IF(COUNTIF(E$62:$M$62,"A")&gt;0,0,$O36*IF(D$62="x",12,COUNTA($A36:C36))*D69-SUM($B36:C36))))</f>
        <v>9895.1641666666656</v>
      </c>
      <c r="E36" s="4">
        <f>IF(COUNTIF($B$62:D$62,"x")&gt;0,0,IF(E$62="A",$O36*COUNTA($A36:D36)*E69,IF(COUNTIF(F$62:$M$62,"A")&gt;0,0,$O36*IF(E$62="x",12,COUNTA($A36:D36))*E69-SUM($B36:D36))))</f>
        <v>9895.1641666666692</v>
      </c>
      <c r="F36" s="4">
        <f>IF(COUNTIF($B$62:E$62,"x")&gt;0,0,IF(F$62="A",$O36*COUNTA($A36:E36)*F69,IF(COUNTIF(G$62:$M$62,"A")&gt;0,0,$O36*IF(F$62="x",12,COUNTA($A36:E36))*F69-SUM($B36:E36))))</f>
        <v>9895.1641666666692</v>
      </c>
      <c r="G36" s="4">
        <f>IF(COUNTIF($B$62:F$62,"x")&gt;0,0,IF(G$62="A",$O36*COUNTA($A36:F36)*G69,IF(COUNTIF(H$62:$M$62,"A")&gt;0,0,$O36*IF(G$62="x",12,COUNTA($A36:F36))*G69-SUM($B36:F36))))</f>
        <v>9895.1641666666619</v>
      </c>
      <c r="H36" s="4">
        <f>IF(COUNTIF($B$62:G$62,"x")&gt;0,0,IF(H$62="A",$O36*COUNTA($A36:G36)*H69,IF(COUNTIF(I$62:$M$62,"A")&gt;0,0,$O36*IF(H$62="x",12,COUNTA($A36:G36))*H69-SUM($B36:G36))))</f>
        <v>9895.1641666666692</v>
      </c>
      <c r="I36" s="4">
        <f>IF(COUNTIF($B$62:H$62,"x")&gt;0,0,IF(I$62="A",$O36*COUNTA($A36:H36)*I69,IF(COUNTIF(J$62:$M$62,"A")&gt;0,0,$O36*IF(I$62="x",12,COUNTA($A36:H36))*I69-SUM($B36:H36))))</f>
        <v>9895.1641666666692</v>
      </c>
      <c r="J36" s="4">
        <f>IF(COUNTIF($B$62:I$62,"x")&gt;0,0,IF(J$62="A",$O36*COUNTA($A36:I36)*J69,IF(COUNTIF(K$62:$M$62,"A")&gt;0,0,$O36*IF(J$62="x",12,COUNTA($A36:I36))*J69-SUM($B36:I36))))</f>
        <v>9895.1641666666692</v>
      </c>
      <c r="K36" s="4">
        <f>IF(COUNTIF($B$62:J$62,"x")&gt;0,0,IF(K$62="A",$O36*COUNTA($A36:J36)*K69,IF(COUNTIF(L$62:$M$62,"A")&gt;0,0,$O36*IF(K$62="x",12,COUNTA($A36:J36))*K69-SUM($B36:J36))))</f>
        <v>9895.1641666666692</v>
      </c>
      <c r="L36" s="4">
        <f>IF(COUNTIF($B$62:K$62,"x")&gt;0,0,IF(L$62="A",$O36*COUNTA($A36:K36)*L69,IF(COUNTIF(M$62:$M$62,"A")&gt;0,0,$O36*IF(L$62="x",12,COUNTA($A36:K36))*L69-SUM($B36:K36))))</f>
        <v>9895.1641666666692</v>
      </c>
      <c r="M36" s="4">
        <f>IF(COUNTIF($B$62:L$62,"x")&gt;0,0,IF(M$62="A",$O36*COUNTA($A36:L36)*M69,IF(COUNTIF($M$62:N$62,"A")&gt;0,0,$O36*IF(M$62="x",12,COUNTA($A36:L36))*M69-SUM($B36:L36))))</f>
        <v>9895.1641666666546</v>
      </c>
      <c r="N36" s="8">
        <f t="shared" si="0"/>
        <v>118741.97</v>
      </c>
      <c r="O36" s="31">
        <f>P36/12</f>
        <v>9895.1641666666674</v>
      </c>
      <c r="P36" s="63">
        <v>118741.97</v>
      </c>
    </row>
    <row r="37" spans="1:19" ht="12.75" x14ac:dyDescent="0.25">
      <c r="A37" s="94" t="s">
        <v>64</v>
      </c>
      <c r="B37" s="4">
        <f>IF(B$62="A",$O37*B70,IF(COUNTIF(C$62:$M$62,"A")&gt;0,0,$O37*IF(B$62="x",12,1)*B70))</f>
        <v>0</v>
      </c>
      <c r="C37" s="4">
        <f>IF(COUNTIF($B$62:B$62,"x")&gt;0,0,IF(C$62="A",$O37*COUNTA($A37:B37)*C70,IF(COUNTIF(D$62:$M$62,"A")&gt;0,0,$O37*IF(C$62="x",12,COUNTA($A37:B37))*C70-SUM($B37:B37))))</f>
        <v>0</v>
      </c>
      <c r="D37" s="4">
        <f>IF(COUNTIF($B$62:C$62,"x")&gt;0,0,IF(D$62="A",$O37*COUNTA($A37:C37)*D70,IF(COUNTIF(E$62:$M$62,"A")&gt;0,0,$O37*IF(D$62="x",12,COUNTA($A37:C37))*D70-SUM($B37:C37))))</f>
        <v>0</v>
      </c>
      <c r="E37" s="4">
        <f>IF(COUNTIF($B$62:D$62,"x")&gt;0,0,IF(E$62="A",$O37*COUNTA($A37:D37)*E70,IF(COUNTIF(F$62:$M$62,"A")&gt;0,0,$O37*IF(E$62="x",12,COUNTA($A37:D37))*E70-SUM($B37:D37))))</f>
        <v>0</v>
      </c>
      <c r="F37" s="4">
        <f>IF(COUNTIF($B$62:E$62,"x")&gt;0,0,IF(F$62="A",$O37*COUNTA($A37:E37)*F70,IF(COUNTIF(G$62:$M$62,"A")&gt;0,0,$O37*IF(F$62="x",12,COUNTA($A37:E37))*F70-SUM($B37:E37))))</f>
        <v>0</v>
      </c>
      <c r="G37" s="4">
        <f>IF(COUNTIF($B$62:F$62,"x")&gt;0,0,IF(G$62="A",$O37*COUNTA($A37:F37)*G70,IF(COUNTIF(H$62:$M$62,"A")&gt;0,0,$O37*IF(G$62="x",12,COUNTA($A37:F37))*G70-SUM($B37:F37))))</f>
        <v>0</v>
      </c>
      <c r="H37" s="4">
        <f>IF(COUNTIF($B$62:G$62,"x")&gt;0,0,IF(H$62="A",$O37*COUNTA($A37:G37)*H70,IF(COUNTIF(I$62:$M$62,"A")&gt;0,0,$O37*IF(H$62="x",12,COUNTA($A37:G37))*H70-SUM($B37:G37))))</f>
        <v>0</v>
      </c>
      <c r="I37" s="4">
        <f>IF(COUNTIF($B$62:H$62,"x")&gt;0,0,IF(I$62="A",$O37*COUNTA($A37:H37)*I70,IF(COUNTIF(J$62:$M$62,"A")&gt;0,0,$O37*IF(I$62="x",12,COUNTA($A37:H37))*I70-SUM($B37:H37))))</f>
        <v>0</v>
      </c>
      <c r="J37" s="4">
        <f>IF(COUNTIF($B$62:I$62,"x")&gt;0,0,IF(J$62="A",$O37*COUNTA($A37:I37)*J70,IF(COUNTIF(K$62:$M$62,"A")&gt;0,0,$O37*IF(J$62="x",12,COUNTA($A37:I37))*J70-SUM($B37:I37))))</f>
        <v>0</v>
      </c>
      <c r="K37" s="4">
        <f>IF(COUNTIF($B$62:J$62,"x")&gt;0,0,IF(K$62="A",$O37*COUNTA($A37:J37)*K70,IF(COUNTIF(L$62:$M$62,"A")&gt;0,0,$O37*IF(K$62="x",12,COUNTA($A37:J37))*K70-SUM($B37:J37))))</f>
        <v>0</v>
      </c>
      <c r="L37" s="4">
        <f>IF(COUNTIF($B$62:K$62,"x")&gt;0,0,IF(L$62="A",$O37*COUNTA($A37:K37)*L70,IF(COUNTIF(M$62:$M$62,"A")&gt;0,0,$O37*IF(L$62="x",12,COUNTA($A37:K37))*L70-SUM($B37:K37))))</f>
        <v>0</v>
      </c>
      <c r="M37" s="4">
        <f>IF(COUNTIF($B$62:L$62,"x")&gt;0,0,IF(M$62="A",$O37*COUNTA($A37:L37)*M70,IF(COUNTIF($M$62:N$62,"A")&gt;0,0,$O37*IF(M$62="x",12,COUNTA($A37:L37))*M70-SUM($B37:L37))))</f>
        <v>0</v>
      </c>
      <c r="N37" s="8">
        <f t="shared" si="0"/>
        <v>0</v>
      </c>
      <c r="O37" s="31">
        <f>O36*2</f>
        <v>19790.328333333335</v>
      </c>
      <c r="P37" s="31">
        <f>P36*2</f>
        <v>237483.94</v>
      </c>
    </row>
    <row r="38" spans="1:19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8">
        <f t="shared" si="0"/>
        <v>0</v>
      </c>
    </row>
    <row r="39" spans="1:19" x14ac:dyDescent="0.2">
      <c r="A39" s="9" t="s">
        <v>61</v>
      </c>
      <c r="B39" s="9">
        <f t="shared" ref="B39:M39" si="9">SUM(B18:B38)</f>
        <v>152298.60766666665</v>
      </c>
      <c r="C39" s="9">
        <f t="shared" si="9"/>
        <v>199200.00000000003</v>
      </c>
      <c r="D39" s="9">
        <f t="shared" si="9"/>
        <v>203695.83333333334</v>
      </c>
      <c r="E39" s="9">
        <f t="shared" si="9"/>
        <v>151589.60766666668</v>
      </c>
      <c r="F39" s="9">
        <f t="shared" si="9"/>
        <v>168613.60766666668</v>
      </c>
      <c r="G39" s="9">
        <f t="shared" si="9"/>
        <v>279717.40148888901</v>
      </c>
      <c r="H39" s="9">
        <f t="shared" si="9"/>
        <v>231499.80766666669</v>
      </c>
      <c r="I39" s="9">
        <f t="shared" si="9"/>
        <v>182251.64766666666</v>
      </c>
      <c r="J39" s="9">
        <f t="shared" si="9"/>
        <v>263884.06815555558</v>
      </c>
      <c r="K39" s="9">
        <f t="shared" si="9"/>
        <v>200989.21766666666</v>
      </c>
      <c r="L39" s="9">
        <f t="shared" si="9"/>
        <v>197866.64766666683</v>
      </c>
      <c r="M39" s="9">
        <f t="shared" si="9"/>
        <v>195655.06766666664</v>
      </c>
      <c r="N39" s="10">
        <f t="shared" si="0"/>
        <v>2427261.5143111115</v>
      </c>
    </row>
    <row r="40" spans="1:19" x14ac:dyDescent="0.2">
      <c r="B40" s="4"/>
    </row>
    <row r="41" spans="1:19" x14ac:dyDescent="0.2">
      <c r="A41" s="57" t="s">
        <v>49</v>
      </c>
      <c r="B41" s="95"/>
      <c r="C41" s="61">
        <f t="shared" ref="C41:M41" si="10">C11+C16-C39</f>
        <v>0</v>
      </c>
      <c r="D41" s="61">
        <f t="shared" si="10"/>
        <v>0</v>
      </c>
      <c r="E41" s="61">
        <f t="shared" si="10"/>
        <v>71831.960488888872</v>
      </c>
      <c r="F41" s="61">
        <f t="shared" si="10"/>
        <v>77287.127155555529</v>
      </c>
      <c r="G41" s="61">
        <f t="shared" si="10"/>
        <v>0</v>
      </c>
      <c r="H41" s="61">
        <f t="shared" si="10"/>
        <v>68350.927155555517</v>
      </c>
      <c r="I41" s="61">
        <f t="shared" si="10"/>
        <v>153565.75382222229</v>
      </c>
      <c r="J41" s="61">
        <f t="shared" si="10"/>
        <v>0</v>
      </c>
      <c r="K41" s="61">
        <f t="shared" si="10"/>
        <v>98861.517155555543</v>
      </c>
      <c r="L41" s="61">
        <f t="shared" si="10"/>
        <v>101984.08715555537</v>
      </c>
      <c r="M41" s="61">
        <f t="shared" si="10"/>
        <v>124195.66715555557</v>
      </c>
      <c r="N41" s="4"/>
    </row>
    <row r="42" spans="1:19" x14ac:dyDescent="0.2">
      <c r="A42" s="77" t="s">
        <v>48</v>
      </c>
      <c r="B42" s="37">
        <f>SUM($B3:B5,$B13:B13)-SUM($B9:B10,$B14:B14,$B39:B39)-SUM($B48:B49,-$B50:B50,-$B51:B51)</f>
        <v>64884.725666666665</v>
      </c>
      <c r="C42" s="37">
        <f>SUM($B3:C5,$B13:C13,$B50:C50,$B51:C51)-SUM($B9:C10,$B14:C14,$B39:C39,$B48:C49)</f>
        <v>64884.725666666694</v>
      </c>
      <c r="D42" s="37">
        <f>SUM($B3:D5,$B13:D13,$B50:D50,$B51:D51)-SUM($B9:D10,$B14:D14,$B39:D39,$B48:D49)</f>
        <v>64884.72566666652</v>
      </c>
      <c r="E42" s="37">
        <f>SUM($B3:E5,$B13:E13,$B50:E50,$B51:E51)-SUM($B9:E10,$B14:E14,$B39:E39,$B48:E49)</f>
        <v>136716.68615555542</v>
      </c>
      <c r="F42" s="37">
        <f>SUM($B3:F5,$B13:F13,$B50:F50,$B51:F51)-SUM($B9:F10,$B14:F14,$B39:F39,$B48:F49)</f>
        <v>214003.81331111141</v>
      </c>
      <c r="G42" s="37">
        <f>SUM($B3:G5,$B13:G13,$B50:G50,$B51:G51)-SUM($B9:G10,$B14:G14,$B39:G39,$B48:G49)</f>
        <v>79003.813311111415</v>
      </c>
      <c r="H42" s="37">
        <f>SUM($B3:H5,$B13:H13,$B50:H50,$B51:H51)-SUM($B9:H10,$B14:H14,$B39:H39,$B48:H49)</f>
        <v>147354.74046666664</v>
      </c>
      <c r="I42" s="37">
        <f>SUM($B3:I5,$B13:I13,$B50:I50,$B51:I51)-SUM($B9:I10,$B14:I14,$B39:I39,$B48:I49)</f>
        <v>300920.49428888876</v>
      </c>
      <c r="J42" s="37">
        <f>SUM($B3:J5,$B13:J13,$B50:J50,$B51:J51)-SUM($B9:J10,$B14:J14,$B39:J39,$B48:J49)</f>
        <v>300920.49428888923</v>
      </c>
      <c r="K42" s="37">
        <f>SUM($B3:K5,$B13:K13,$B50:K50,$B51:K51)-SUM($B9:K10,$B14:K14,$B39:K39,$B48:K49)</f>
        <v>399782.01144444523</v>
      </c>
      <c r="L42" s="37">
        <f>SUM($B3:L5,$B13:L13,$B50:L50,$B51:L51)-SUM($B9:L10,$B14:L14,$B39:L39,$B48:L49)</f>
        <v>501766.09860000107</v>
      </c>
      <c r="M42" s="37">
        <f>SUM($B3:M5,$B13:M13,$B50:M50,$B51:M51)-SUM($B9:M10,$B14:M14,$B39:M39,$B48:M49)</f>
        <v>450961.76575555699</v>
      </c>
      <c r="N42" s="4"/>
    </row>
    <row r="43" spans="1:19" x14ac:dyDescent="0.2">
      <c r="A43" s="46" t="s">
        <v>40</v>
      </c>
      <c r="B43" s="38">
        <f>IF(B62="x",VLOOKUP(B42,Tablas!$A$1:$D$10,3)+(B42-VLOOKUP(B42,Tablas!$A$1:$D$10,1))*VLOOKUP(B42,Tablas!$A$1:$D$10,4),VLOOKUP(B42,Tablas!$A$13:$D$22,3)+(B42-VLOOKUP(B42,Tablas!$A$13:$D$22,1))*VLOOKUP(B42,Tablas!$A$13:$D$22,4))</f>
        <v>10147.724013333336</v>
      </c>
      <c r="C43" s="38">
        <f>IF(C62="x",VLOOKUP(C42,Tablas!$A$1:$D$10,3)+(C42-VLOOKUP(C42,Tablas!$A$1:$D$10,1))*VLOOKUP(C42,Tablas!$A$1:$D$10,4),VLOOKUP(C42,Tablas!$A$25:$D$34,3)+(C42-VLOOKUP(C42,Tablas!$A$25:$D$34,1))*VLOOKUP(C42,Tablas!$A$25:$D$34,4))</f>
        <v>6657.9809766666722</v>
      </c>
      <c r="D43" s="38">
        <f>IF(D62="x",VLOOKUP(D42,Tablas!$A$1:$D$10,3)+(D42-VLOOKUP(D42,Tablas!$A$1:$D$10,1))*VLOOKUP(D42,Tablas!$A$1:$D$10,4),VLOOKUP(D42,Tablas!$A$37:$D$46,3)+(D42-VLOOKUP(D42,Tablas!$A$37:$D$46,1))*VLOOKUP(D42,Tablas!$A$37:$D$46,4))</f>
        <v>5356.1170049999819</v>
      </c>
      <c r="E43" s="38">
        <f>IF(E62="x",VLOOKUP(E42,Tablas!$A$1:$D$10,3)+(E42-VLOOKUP(E42,Tablas!$A$1:$D$10,1))*VLOOKUP(E42,Tablas!$A$1:$D$10,4),VLOOKUP(E42,Tablas!$A$49:$D$58,3)+(E42-VLOOKUP(E42,Tablas!$A$49:$D$58,1))*VLOOKUP(E42,Tablas!$A$49:$D$58,4))</f>
        <v>14635.93656955553</v>
      </c>
      <c r="F43" s="38">
        <f>IF(F62="x",VLOOKUP(F42,Tablas!$A$1:$D$10,3)+(F42-VLOOKUP(F42,Tablas!$A$1:$D$10,1))*VLOOKUP(F42,Tablas!$A$1:$D$10,4),VLOOKUP(F42,Tablas!$A$61:$D$70,3)+(F42-VLOOKUP(F42,Tablas!$A$61:$D$70,1))*VLOOKUP(F42,Tablas!$A$61:$D$70,4))</f>
        <v>26485.43227911117</v>
      </c>
      <c r="G43" s="38">
        <f>IF(G62="x",VLOOKUP(G42,Tablas!$A$1:$D$10,3)+(G42-VLOOKUP(G42,Tablas!$A$1:$D$10,1))*VLOOKUP(G42,Tablas!$A$1:$D$10,4),VLOOKUP(G42,Tablas!$A$73:$D$82,3)+(G42-VLOOKUP(G42,Tablas!$A$73:$D$82,1))*VLOOKUP(G42,Tablas!$A$73:$D$82,4))</f>
        <v>5166.3031980000269</v>
      </c>
      <c r="H43" s="38">
        <f>IF(H62="x",VLOOKUP(H42,Tablas!$A$1:$D$10,3)+(H42-VLOOKUP(H42,Tablas!$A$1:$D$10,1))*VLOOKUP(H42,Tablas!$A$1:$D$10,4),VLOOKUP(H42,Tablas!$A$85:$D$94,3)+(H42-VLOOKUP(H42,Tablas!$A$85:$D$94,1))*VLOOKUP(H42,Tablas!$A$85:$D$94,4))</f>
        <v>12012.45201433333</v>
      </c>
      <c r="I43" s="38">
        <f>IF(I62="x",VLOOKUP(I42,Tablas!$A$1:$D$10,3)+(I42-VLOOKUP(I42,Tablas!$A$1:$D$10,1))*VLOOKUP(I42,Tablas!$A$1:$D$10,4),VLOOKUP(I42,Tablas!$A$97:$D$106,3)+(I42-VLOOKUP(I42,Tablas!$A$97:$D$106,1))*VLOOKUP(I42,Tablas!$A$97:$D$106,4))</f>
        <v>34494.426314888864</v>
      </c>
      <c r="J43" s="38">
        <f>IF(J62="x",VLOOKUP(J42,Tablas!$A$1:$D$10,3)+(J42-VLOOKUP(J42,Tablas!$A$1:$D$10,1))*VLOOKUP(J42,Tablas!$A$1:$D$10,4),VLOOKUP(J42,Tablas!$A$109:$D$118,3)+(J42-VLOOKUP(J42,Tablas!$A$109:$D$118,1))*VLOOKUP(J42,Tablas!$A$109:$D$118,4))</f>
        <v>31659.367864888955</v>
      </c>
      <c r="K43" s="38">
        <f>IF(K62="x",VLOOKUP(K42,Tablas!$A$1:$D$10,3)+(K42-VLOOKUP(K42,Tablas!$A$1:$D$10,1))*VLOOKUP(K42,Tablas!$A$1:$D$10,4),VLOOKUP(K42,Tablas!$A$121:$D$130,3)+(K42-VLOOKUP(K42,Tablas!$A$121:$D$130,1))*VLOOKUP(K42,Tablas!$A$121:$D$130,4))</f>
        <v>47607.997674444588</v>
      </c>
      <c r="L43" s="38">
        <f>IF(L62="x",VLOOKUP(L42,Tablas!$A$1:$D$10,3)+(L42-VLOOKUP(L42,Tablas!$A$1:$D$10,1))*VLOOKUP(L42,Tablas!$A$1:$D$10,4),VLOOKUP(L42,Tablas!$A$133:$D$142,3)+(L42-VLOOKUP(L42,Tablas!$A$133:$D$142,1))*VLOOKUP(L42,Tablas!$A$133:$D$142,4))</f>
        <v>64149.915784000201</v>
      </c>
      <c r="M43" s="38">
        <f>IF(M62="x",VLOOKUP(M42,Tablas!$A$1:$D$10,3)+(M42-VLOOKUP(M42,Tablas!$A$1:$D$10,1))*VLOOKUP(M42,Tablas!$A$1:$D$10,4),VLOOKUP(M42,Tablas!$A$1:$D$10,3)+(M42-VLOOKUP(M42,Tablas!$A$1:$D$10,1))*VLOOKUP(M42,Tablas!$A$1:$D$10,4))</f>
        <v>51662.034093555827</v>
      </c>
      <c r="N43" s="4"/>
    </row>
    <row r="44" spans="1:19" x14ac:dyDescent="0.2">
      <c r="B44" s="48">
        <f>IF(B62="x",VLOOKUP(MAX(0,B42),Tablas!$A$1:$D$10,4),VLOOKUP(MAX(0,B42),Tablas!$A$13:$D$22,4))</f>
        <v>0.27</v>
      </c>
      <c r="C44" s="48">
        <f>IF(C62="x",VLOOKUP(MAX(0,C42),Tablas!$A$1:$D$10,4),VLOOKUP(MAX(0,C42),Tablas!$A$25:$D$34,4))</f>
        <v>0.19</v>
      </c>
      <c r="D44" s="48">
        <f>IF(D62="x",VLOOKUP(MAX(0,D42),Tablas!$A$1:$D$10,4),VLOOKUP(MAX(0,D42),Tablas!$A$37:$D$46,4))</f>
        <v>0.12</v>
      </c>
      <c r="E44" s="48">
        <f>IF(E62="x",VLOOKUP(MAX(0,E42),Tablas!$A$1:$D$10,4),VLOOKUP(MAX(0,E42),Tablas!$A$49:$D$58,4))</f>
        <v>0.19</v>
      </c>
      <c r="F44" s="48">
        <f>IF(F62="x",VLOOKUP(MAX(0,F42),Tablas!$A$1:$D$10,4),VLOOKUP(MAX(0,F42),Tablas!$A$61:$D$70,4))</f>
        <v>0.19</v>
      </c>
      <c r="G44" s="48">
        <f>IF(G62="x",VLOOKUP(MAX(0,G42),Tablas!$A$1:$D$10,4),VLOOKUP(MAX(0,G42),Tablas!$A$73:$D$82,4))</f>
        <v>0.09</v>
      </c>
      <c r="H44" s="48">
        <f>IF(H62="x",VLOOKUP(MAX(0,H42),Tablas!$A$1:$D$10,4),VLOOKUP(MAX(0,H42),Tablas!$A$97:$D$106,4))</f>
        <v>0.12</v>
      </c>
      <c r="I44" s="48">
        <f>IF(I62="x",VLOOKUP(MAX(0,I42),Tablas!$A$1:$D$10,4),VLOOKUP(MAX(0,I42),Tablas!$A$97:$D$106,4))</f>
        <v>0.19</v>
      </c>
      <c r="J44" s="48">
        <f>IF(J62="x",VLOOKUP(MAX(0,J42),Tablas!$A$1:$D$10,4),VLOOKUP(MAX(0,J42),Tablas!$A$121:$D$130,4))</f>
        <v>0.15</v>
      </c>
      <c r="K44" s="48">
        <f>IF(K62="x",VLOOKUP(MAX(0,K42),Tablas!$A$1:$D$10,4),VLOOKUP(MAX(0,K42),Tablas!$A$121:$D$130,4))</f>
        <v>0.19</v>
      </c>
      <c r="L44" s="48">
        <f>IF(L62="x",VLOOKUP(MAX(0,L42),Tablas!$A$1:$D$10,4),VLOOKUP(MAX(0,L42),Tablas!$A$133:$D$142,4))</f>
        <v>0.19</v>
      </c>
      <c r="M44" s="48">
        <f>IF(M62="x",VLOOKUP(MAX(0,M42),Tablas!$A$1:$D$10,4),VLOOKUP(MAX(0,M42),Tablas!$A$1:$D$10,4))</f>
        <v>0.19</v>
      </c>
      <c r="N44" s="4"/>
    </row>
    <row r="45" spans="1:19" s="43" customFormat="1" x14ac:dyDescent="0.2">
      <c r="A45" s="41" t="s">
        <v>32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</row>
    <row r="46" spans="1:19" s="43" customFormat="1" x14ac:dyDescent="0.2">
      <c r="A46" s="41" t="s">
        <v>33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</row>
    <row r="47" spans="1:19" s="43" customFormat="1" x14ac:dyDescent="0.2">
      <c r="A47" s="41" t="s">
        <v>34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</row>
    <row r="48" spans="1:19" s="45" customFormat="1" x14ac:dyDescent="0.2">
      <c r="A48" s="44" t="s">
        <v>35</v>
      </c>
      <c r="B48" s="44">
        <f>B45+B46/3*2+B47/2</f>
        <v>0</v>
      </c>
      <c r="C48" s="44">
        <f>C45+C46/3*2+C47/2</f>
        <v>0</v>
      </c>
      <c r="D48" s="44">
        <f t="shared" ref="D48:M48" si="11">D45+D46/3*2+D47/2</f>
        <v>0</v>
      </c>
      <c r="E48" s="44">
        <f t="shared" si="11"/>
        <v>0</v>
      </c>
      <c r="F48" s="44">
        <f t="shared" si="11"/>
        <v>0</v>
      </c>
      <c r="G48" s="44">
        <f t="shared" si="11"/>
        <v>0</v>
      </c>
      <c r="H48" s="44">
        <f t="shared" si="11"/>
        <v>0</v>
      </c>
      <c r="I48" s="44">
        <f t="shared" si="11"/>
        <v>0</v>
      </c>
      <c r="J48" s="44">
        <f t="shared" si="11"/>
        <v>0</v>
      </c>
      <c r="K48" s="44">
        <f t="shared" si="11"/>
        <v>0</v>
      </c>
      <c r="L48" s="44">
        <f t="shared" si="11"/>
        <v>0</v>
      </c>
      <c r="M48" s="44">
        <f t="shared" si="11"/>
        <v>0</v>
      </c>
    </row>
    <row r="49" spans="1:14" s="45" customFormat="1" x14ac:dyDescent="0.2">
      <c r="A49" s="44" t="s">
        <v>36</v>
      </c>
      <c r="B49" s="44">
        <f t="shared" ref="B49:M49" si="12">SUM(B45:B47)-B48</f>
        <v>0</v>
      </c>
      <c r="C49" s="44">
        <f t="shared" si="12"/>
        <v>0</v>
      </c>
      <c r="D49" s="44">
        <f t="shared" si="12"/>
        <v>0</v>
      </c>
      <c r="E49" s="44">
        <f t="shared" si="12"/>
        <v>0</v>
      </c>
      <c r="F49" s="44">
        <f t="shared" si="12"/>
        <v>0</v>
      </c>
      <c r="G49" s="44">
        <f t="shared" si="12"/>
        <v>0</v>
      </c>
      <c r="H49" s="44">
        <f t="shared" si="12"/>
        <v>0</v>
      </c>
      <c r="I49" s="44">
        <f t="shared" si="12"/>
        <v>0</v>
      </c>
      <c r="J49" s="44">
        <f t="shared" si="12"/>
        <v>0</v>
      </c>
      <c r="K49" s="44">
        <f t="shared" si="12"/>
        <v>0</v>
      </c>
      <c r="L49" s="44">
        <f t="shared" si="12"/>
        <v>0</v>
      </c>
      <c r="M49" s="44">
        <f t="shared" si="12"/>
        <v>0</v>
      </c>
    </row>
    <row r="50" spans="1:14" s="45" customFormat="1" x14ac:dyDescent="0.2">
      <c r="A50" s="44" t="s">
        <v>37</v>
      </c>
      <c r="B50" s="44">
        <f>B48*(0.17+$B$71)</f>
        <v>0</v>
      </c>
      <c r="C50" s="44">
        <f>C48*(0.17+$B$71)</f>
        <v>0</v>
      </c>
      <c r="D50" s="44">
        <f>D48*(0.17+$B$71)</f>
        <v>0</v>
      </c>
      <c r="E50" s="44">
        <f>E48*(0.17+$B$71)</f>
        <v>0</v>
      </c>
      <c r="F50" s="44">
        <f>F48*(0.17+$B$71)</f>
        <v>0</v>
      </c>
      <c r="G50" s="44">
        <f>G48*(0.17+$B$71)</f>
        <v>0</v>
      </c>
      <c r="H50" s="44">
        <f>H48*(0.17+$B$71)</f>
        <v>0</v>
      </c>
      <c r="I50" s="44">
        <f>I48*(0.17+$B$71)</f>
        <v>0</v>
      </c>
      <c r="J50" s="44">
        <f>J48*(0.17+$B$71)</f>
        <v>0</v>
      </c>
      <c r="K50" s="44">
        <f>K48*(0.17+$B$71)</f>
        <v>0</v>
      </c>
      <c r="L50" s="44">
        <f>L48*(0.17+$B$71)</f>
        <v>0</v>
      </c>
      <c r="M50" s="44">
        <f>M48*(0.17+$B$71)</f>
        <v>0</v>
      </c>
    </row>
    <row r="51" spans="1:14" s="45" customFormat="1" x14ac:dyDescent="0.2">
      <c r="A51" s="44" t="s">
        <v>38</v>
      </c>
      <c r="B51" s="44">
        <f>B49*(0.17+$B$71)</f>
        <v>0</v>
      </c>
      <c r="C51" s="44">
        <f>C49*(0.17+$B$71)</f>
        <v>0</v>
      </c>
      <c r="D51" s="44">
        <f>D49*(0.17+$B$71)</f>
        <v>0</v>
      </c>
      <c r="E51" s="44">
        <f>E49*(0.17+$B$71)</f>
        <v>0</v>
      </c>
      <c r="F51" s="44">
        <f>F49*(0.17+$B$71)</f>
        <v>0</v>
      </c>
      <c r="G51" s="44">
        <f>G49*(0.17+$B$71)</f>
        <v>0</v>
      </c>
      <c r="H51" s="44">
        <f>H49*(0.17+$B$71)</f>
        <v>0</v>
      </c>
      <c r="I51" s="44">
        <f>I49*(0.17+$B$71)</f>
        <v>0</v>
      </c>
      <c r="J51" s="44">
        <f>J49*(0.17+$B$71)</f>
        <v>0</v>
      </c>
      <c r="K51" s="44">
        <f>K49*(0.17+$B$71)</f>
        <v>0</v>
      </c>
      <c r="L51" s="44">
        <f>L49*(0.17+$B$71)</f>
        <v>0</v>
      </c>
      <c r="M51" s="44">
        <f>M49*(0.17+$B$71)</f>
        <v>0</v>
      </c>
    </row>
    <row r="52" spans="1:14" s="43" customFormat="1" x14ac:dyDescent="0.2">
      <c r="A52" s="46"/>
      <c r="K52" s="47"/>
      <c r="L52" s="47"/>
      <c r="M52" s="47"/>
      <c r="N52" s="47"/>
    </row>
    <row r="53" spans="1:14" s="43" customFormat="1" x14ac:dyDescent="0.2">
      <c r="A53" s="46" t="s">
        <v>39</v>
      </c>
      <c r="B53" s="37">
        <f>B42+B48-B50</f>
        <v>64884.725666666665</v>
      </c>
      <c r="C53" s="37">
        <f>C42+SUM($B48:C48)-SUM($B50:C50)</f>
        <v>64884.725666666694</v>
      </c>
      <c r="D53" s="37">
        <f>D42+SUM($B48:D48)-SUM($B50:D50)</f>
        <v>64884.72566666652</v>
      </c>
      <c r="E53" s="37">
        <f>E42+SUM($B48:E48)-SUM($B50:E50)</f>
        <v>136716.68615555542</v>
      </c>
      <c r="F53" s="37">
        <f>F42+SUM($B48:F48)-SUM($B50:F50)</f>
        <v>214003.81331111141</v>
      </c>
      <c r="G53" s="37">
        <f>G42+SUM($B48:G48)-SUM($B50:G50)</f>
        <v>79003.813311111415</v>
      </c>
      <c r="H53" s="37">
        <f>H42+SUM($B48:H48)-SUM($B50:H50)</f>
        <v>147354.74046666664</v>
      </c>
      <c r="I53" s="37">
        <f>I42+SUM($B48:I48)-SUM($B50:I50)</f>
        <v>300920.49428888876</v>
      </c>
      <c r="J53" s="37">
        <f>J42+SUM($B48:J48)-SUM($B50:J50)</f>
        <v>300920.49428888923</v>
      </c>
      <c r="K53" s="37">
        <f>K42+SUM($B48:K48)-SUM($B50:K50)</f>
        <v>399782.01144444523</v>
      </c>
      <c r="L53" s="37">
        <f>L42+SUM($B48:L48)-SUM($B50:L50)</f>
        <v>501766.09860000107</v>
      </c>
      <c r="M53" s="37">
        <f>M42+SUM($B48:M48)-SUM($B50:M50)</f>
        <v>450961.76575555699</v>
      </c>
      <c r="N53" s="4"/>
    </row>
    <row r="54" spans="1:14" s="43" customFormat="1" x14ac:dyDescent="0.2">
      <c r="A54" s="46" t="s">
        <v>40</v>
      </c>
      <c r="B54" s="38">
        <f>MAX(0,MIN(B48-B50,B53)*B44+B43)</f>
        <v>10147.724013333336</v>
      </c>
      <c r="C54" s="38">
        <f>MAX(0,MIN(SUM($B48:C48)-SUM($B50:C50),C53)*C44+C43)</f>
        <v>6657.9809766666722</v>
      </c>
      <c r="D54" s="38">
        <f>MAX(0,MIN(SUM($B48:D48)-SUM($B50:D50),D53)*D44+D43)</f>
        <v>5356.1170049999819</v>
      </c>
      <c r="E54" s="38">
        <f>MAX(0,MIN(SUM($B48:E48)-SUM($B50:E50),E53)*E44+E43)</f>
        <v>14635.93656955553</v>
      </c>
      <c r="F54" s="38">
        <f>MAX(0,MIN(SUM($B48:F48)-SUM($B50:F50),F53)*F44+F43)</f>
        <v>26485.43227911117</v>
      </c>
      <c r="G54" s="38">
        <f>MAX(0,MIN(SUM($B48:G48)-SUM($B50:G50),G53)*G44+G43)</f>
        <v>5166.3031980000269</v>
      </c>
      <c r="H54" s="38">
        <f>MAX(0,MIN(SUM($B48:H48)-SUM($B50:H50),H53)*H44+H43)</f>
        <v>12012.45201433333</v>
      </c>
      <c r="I54" s="38">
        <f>MAX(0,MIN(SUM($B48:I48)-SUM($B50:I50),I53)*I44+I43)</f>
        <v>34494.426314888864</v>
      </c>
      <c r="J54" s="38">
        <f>MAX(0,MIN(SUM($B48:J48)-SUM($B50:J50),J53)*J44+J43)</f>
        <v>31659.367864888955</v>
      </c>
      <c r="K54" s="38">
        <f>MAX(0,MIN(SUM($B48:K48)-SUM($B50:K50),K53)*K44+K43)</f>
        <v>47607.997674444588</v>
      </c>
      <c r="L54" s="38">
        <f>MAX(0,MIN(SUM($B48:L48)-SUM($B50:L50),L53)*L44+L43)</f>
        <v>64149.915784000201</v>
      </c>
      <c r="M54" s="38">
        <f>MAX(0,MIN(SUM($B48:M48)-SUM($B50:M50),M53)*M44+M43)</f>
        <v>51662.034093555827</v>
      </c>
      <c r="N54" s="4"/>
    </row>
    <row r="55" spans="1:14" s="53" customFormat="1" ht="12.75" x14ac:dyDescent="0.25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1"/>
    </row>
    <row r="56" spans="1:14" x14ac:dyDescent="0.2">
      <c r="A56" s="109" t="s">
        <v>67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4"/>
    </row>
    <row r="57" spans="1:14" x14ac:dyDescent="0.2">
      <c r="A57" s="4" t="s">
        <v>0</v>
      </c>
      <c r="B57" s="11">
        <f>0+B56</f>
        <v>0</v>
      </c>
      <c r="C57" s="11">
        <f>B57+B58+C56</f>
        <v>10147.719999999999</v>
      </c>
      <c r="D57" s="11">
        <f t="shared" ref="D57:M57" si="13">C57+C58+D56</f>
        <v>6657.98</v>
      </c>
      <c r="E57" s="11">
        <f t="shared" si="13"/>
        <v>5356.12</v>
      </c>
      <c r="F57" s="11">
        <f t="shared" si="13"/>
        <v>14635.939999999999</v>
      </c>
      <c r="G57" s="11">
        <f t="shared" si="13"/>
        <v>26485.43</v>
      </c>
      <c r="H57" s="11">
        <f t="shared" si="13"/>
        <v>5166.2999999999993</v>
      </c>
      <c r="I57" s="11">
        <f t="shared" si="13"/>
        <v>12012.449999999999</v>
      </c>
      <c r="J57" s="11">
        <f t="shared" si="13"/>
        <v>34494.43</v>
      </c>
      <c r="K57" s="11">
        <f t="shared" si="13"/>
        <v>31659.37</v>
      </c>
      <c r="L57" s="11">
        <f t="shared" si="13"/>
        <v>47608</v>
      </c>
      <c r="M57" s="11">
        <f t="shared" si="13"/>
        <v>64149.919999999998</v>
      </c>
      <c r="N57" s="4"/>
    </row>
    <row r="58" spans="1:14" x14ac:dyDescent="0.2">
      <c r="A58" s="4" t="s">
        <v>20</v>
      </c>
      <c r="B58" s="11">
        <f>MIN(ROUND(B54-B57,2),B59)</f>
        <v>10147.719999999999</v>
      </c>
      <c r="C58" s="11">
        <f>MAX(-SUM($B58:B58)-SUM($B56:C56),  IF(COUNTIF($B$62:B$62,"X")&gt;0,0,MIN(ROUND(C54-C57,2),C59)))</f>
        <v>-3489.74</v>
      </c>
      <c r="D58" s="11">
        <f>MAX(-SUM($B58:C58)-SUM($B56:D56),  IF(COUNTIF($B$62:C$62,"X")&gt;0,0,MIN(ROUND(D54-D57,2),D59)))</f>
        <v>-1301.8599999999999</v>
      </c>
      <c r="E58" s="11">
        <f>MAX(-SUM($B58:D58)-SUM($B56:E56),  IF(COUNTIF($B$62:D$62,"X")&gt;0,0,MIN(ROUND(E54-E57,2),E59)))</f>
        <v>9279.82</v>
      </c>
      <c r="F58" s="11">
        <f>MAX(-SUM($B58:E58)-SUM($B56:F56),  IF(COUNTIF($B$62:E$62,"X")&gt;0,0,MIN(ROUND(F54-F57,2),F59)))</f>
        <v>11849.49</v>
      </c>
      <c r="G58" s="11">
        <f>MAX(-SUM($B58:F58)-SUM($B56:G56),  IF(COUNTIF($B$62:F$62,"X")&gt;0,0,MIN(ROUND(G54-G57,2),G59)))</f>
        <v>-21319.13</v>
      </c>
      <c r="H58" s="11">
        <f>MAX(-SUM($B58:G58)-SUM($B56:H56),  IF(COUNTIF($B$62:G$62,"X")&gt;0,0,MIN(ROUND(H54-H57,2),H59)))</f>
        <v>6846.15</v>
      </c>
      <c r="I58" s="11">
        <f>MAX(-SUM($B58:H58)-SUM($B56:I56),  IF(COUNTIF($B$62:H$62,"X")&gt;0,0,MIN(ROUND(I54-I57,2),I59)))</f>
        <v>22481.98</v>
      </c>
      <c r="J58" s="11">
        <f>MAX(-SUM($B58:I58)-SUM($B56:J56),  IF(COUNTIF($B$62:I$62,"X")&gt;0,0,MIN(ROUND(J54-J57,2),J59)))</f>
        <v>-2835.06</v>
      </c>
      <c r="K58" s="11">
        <f>MAX(-SUM($B58:J58)-SUM($B56:K56),  IF(COUNTIF($B$62:J$62,"X")&gt;0,0,MIN(ROUND(K54-K57,2),K59)))</f>
        <v>15948.63</v>
      </c>
      <c r="L58" s="11">
        <f>MAX(-SUM($B58:K58)-SUM($B56:L56),  IF(COUNTIF($B$62:K$62,"X")&gt;0,0,MIN(ROUND(L54-L57,2),L59)))</f>
        <v>16541.919999999998</v>
      </c>
      <c r="M58" s="11">
        <f>MAX(-SUM($B58:L58)-SUM($B56:M56),  IF(COUNTIF($B$62:L$62,"X")&gt;0,0,MIN(ROUND(M54-M57,2),M59)))</f>
        <v>-12487.89</v>
      </c>
      <c r="N58" s="8">
        <f>SUM(B58:M58)</f>
        <v>51662.03</v>
      </c>
    </row>
    <row r="59" spans="1:14" s="26" customFormat="1" x14ac:dyDescent="0.2">
      <c r="A59" s="24" t="s">
        <v>26</v>
      </c>
      <c r="B59" s="25">
        <f>(SUM(B3:B5,,B62:B64)) *0.35</f>
        <v>98000</v>
      </c>
      <c r="C59" s="25">
        <f>(SUM(C3:C5,C62:C64)) *0.35</f>
        <v>83416.666666666672</v>
      </c>
      <c r="D59" s="25">
        <f>(SUM(D3:D5,D62:D64)) *0.35</f>
        <v>85312.5</v>
      </c>
      <c r="E59" s="25">
        <f>(SUM(E3:E5,E62:E64)) *0.35</f>
        <v>155312.5</v>
      </c>
      <c r="F59" s="25">
        <f>(SUM(F3:F5,F62:F64)) *0.35</f>
        <v>94791.666666666657</v>
      </c>
      <c r="G59" s="25">
        <f>(SUM(G3:G5,G62:G64)) *0.35</f>
        <v>60666.666666666664</v>
      </c>
      <c r="H59" s="25">
        <f>(SUM(H3:H5,H62:H64)) *0.35</f>
        <v>117541.66666666666</v>
      </c>
      <c r="I59" s="25">
        <f>(SUM(I3:I5,I62:I64)) *0.35</f>
        <v>132708.33333333334</v>
      </c>
      <c r="J59" s="25">
        <f>(SUM(J3:J5,J62:J64)) *0.35</f>
        <v>102375</v>
      </c>
      <c r="K59" s="25">
        <f>(SUM(K3:K5,K62:K64)) *0.35</f>
        <v>117541.66666666666</v>
      </c>
      <c r="L59" s="25">
        <f>(SUM(L3:L5,L62:L64)) *0.35</f>
        <v>117541.66666666666</v>
      </c>
      <c r="M59" s="25">
        <f>(SUM(M3:M5,M62:M64)) *0.35</f>
        <v>63291.666666666664</v>
      </c>
    </row>
    <row r="60" spans="1:14" s="26" customFormat="1" x14ac:dyDescent="0.2">
      <c r="A60" s="24" t="s">
        <v>46</v>
      </c>
      <c r="B60" s="25">
        <f t="shared" ref="B60:M60" si="14">MAX(0,ROUND(B43-B57,2)-B58)</f>
        <v>0</v>
      </c>
      <c r="C60" s="25">
        <f t="shared" si="14"/>
        <v>0</v>
      </c>
      <c r="D60" s="25">
        <f t="shared" si="14"/>
        <v>0</v>
      </c>
      <c r="E60" s="25">
        <f t="shared" si="14"/>
        <v>0</v>
      </c>
      <c r="F60" s="25">
        <f t="shared" si="14"/>
        <v>0</v>
      </c>
      <c r="G60" s="25">
        <f t="shared" si="14"/>
        <v>0</v>
      </c>
      <c r="H60" s="25">
        <f t="shared" si="14"/>
        <v>0</v>
      </c>
      <c r="I60" s="25">
        <f t="shared" si="14"/>
        <v>0</v>
      </c>
      <c r="J60" s="25">
        <f t="shared" si="14"/>
        <v>0</v>
      </c>
      <c r="K60" s="25">
        <f t="shared" si="14"/>
        <v>0</v>
      </c>
      <c r="L60" s="25">
        <f t="shared" si="14"/>
        <v>0</v>
      </c>
      <c r="M60" s="25">
        <f t="shared" si="14"/>
        <v>0</v>
      </c>
    </row>
    <row r="61" spans="1:14" s="26" customFormat="1" x14ac:dyDescent="0.2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</row>
    <row r="62" spans="1:14" s="29" customFormat="1" x14ac:dyDescent="0.2">
      <c r="A62" s="27" t="s">
        <v>60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4" x14ac:dyDescent="0.2">
      <c r="A63" s="36" t="s">
        <v>29</v>
      </c>
      <c r="B63" s="100">
        <v>20000</v>
      </c>
      <c r="C63" s="100">
        <v>0</v>
      </c>
      <c r="D63" s="54">
        <v>0</v>
      </c>
      <c r="E63" s="54">
        <v>0</v>
      </c>
      <c r="F63" s="54">
        <v>0</v>
      </c>
      <c r="G63" s="54"/>
      <c r="H63" s="16"/>
      <c r="I63" s="15"/>
      <c r="J63" s="17"/>
      <c r="K63" s="17"/>
      <c r="L63" s="17"/>
      <c r="M63" s="17"/>
      <c r="N63" s="3"/>
    </row>
    <row r="64" spans="1:14" x14ac:dyDescent="0.2">
      <c r="A64" s="36" t="s">
        <v>24</v>
      </c>
      <c r="B64" s="100">
        <v>0</v>
      </c>
      <c r="C64" s="100">
        <v>0</v>
      </c>
      <c r="D64" s="54">
        <v>0</v>
      </c>
      <c r="E64" s="54">
        <v>200000</v>
      </c>
      <c r="F64" s="54">
        <v>0</v>
      </c>
      <c r="G64" s="54"/>
      <c r="H64" s="16"/>
      <c r="I64" s="16"/>
      <c r="J64" s="16"/>
      <c r="K64" s="16"/>
      <c r="L64" s="17"/>
      <c r="M64" s="17"/>
      <c r="N64" s="3"/>
    </row>
    <row r="65" spans="1:17" s="34" customFormat="1" x14ac:dyDescent="0.2">
      <c r="A65" s="32" t="str">
        <f>A63&amp;" (Ap)"</f>
        <v>Prorrateo Vacaciones (Ap)</v>
      </c>
      <c r="B65" s="104">
        <f>MIN(B$3+B$63,B$78)*(0.17+$B$71)-B$9</f>
        <v>3400</v>
      </c>
      <c r="C65" s="104">
        <f t="shared" ref="C65:M65" si="15">MIN(C$3+C$63,C$78)*(0.17+$B$71)-C$9</f>
        <v>0</v>
      </c>
      <c r="D65" s="104">
        <f t="shared" si="15"/>
        <v>0</v>
      </c>
      <c r="E65" s="104">
        <f t="shared" si="15"/>
        <v>0</v>
      </c>
      <c r="F65" s="104">
        <f t="shared" si="15"/>
        <v>0</v>
      </c>
      <c r="G65" s="104">
        <f t="shared" si="15"/>
        <v>0</v>
      </c>
      <c r="H65" s="104">
        <f t="shared" si="15"/>
        <v>0</v>
      </c>
      <c r="I65" s="104">
        <f t="shared" si="15"/>
        <v>0</v>
      </c>
      <c r="J65" s="104">
        <f t="shared" si="15"/>
        <v>0</v>
      </c>
      <c r="K65" s="104">
        <f t="shared" si="15"/>
        <v>0</v>
      </c>
      <c r="L65" s="104">
        <f t="shared" si="15"/>
        <v>0</v>
      </c>
      <c r="M65" s="104">
        <f t="shared" si="15"/>
        <v>0</v>
      </c>
      <c r="N65" s="33"/>
    </row>
    <row r="66" spans="1:17" s="34" customFormat="1" x14ac:dyDescent="0.2">
      <c r="A66" s="32" t="str">
        <f>A64&amp;" (Ap)"</f>
        <v>Prorrateo Premios (Ap)</v>
      </c>
      <c r="B66" s="104">
        <f>MIN(B$3+B$63+B$64,B$78)*(0.17+$B$71)-B$9-B$65</f>
        <v>0</v>
      </c>
      <c r="C66" s="104">
        <f t="shared" ref="C66:M66" si="16">MIN(C$3+C$63+C$64,C$78)*(0.17+$B$71)-C$9-C$65</f>
        <v>0</v>
      </c>
      <c r="D66" s="104">
        <f t="shared" si="16"/>
        <v>0</v>
      </c>
      <c r="E66" s="104">
        <f t="shared" si="16"/>
        <v>22468.386599999998</v>
      </c>
      <c r="F66" s="104">
        <f t="shared" si="16"/>
        <v>0</v>
      </c>
      <c r="G66" s="104">
        <f t="shared" si="16"/>
        <v>0</v>
      </c>
      <c r="H66" s="104">
        <f t="shared" si="16"/>
        <v>0</v>
      </c>
      <c r="I66" s="104">
        <f t="shared" si="16"/>
        <v>0</v>
      </c>
      <c r="J66" s="104">
        <f t="shared" si="16"/>
        <v>0</v>
      </c>
      <c r="K66" s="104">
        <f t="shared" si="16"/>
        <v>0</v>
      </c>
      <c r="L66" s="104">
        <f t="shared" si="16"/>
        <v>0</v>
      </c>
      <c r="M66" s="104">
        <f t="shared" si="16"/>
        <v>0</v>
      </c>
      <c r="N66" s="33"/>
    </row>
    <row r="67" spans="1:17" x14ac:dyDescent="0.2">
      <c r="A67" s="30"/>
      <c r="B67" s="55"/>
      <c r="C67" s="55"/>
      <c r="D67" s="55"/>
      <c r="E67" s="55"/>
      <c r="F67" s="73"/>
      <c r="J67" s="75"/>
    </row>
    <row r="68" spans="1:17" x14ac:dyDescent="0.2">
      <c r="A68" s="101" t="s">
        <v>65</v>
      </c>
      <c r="B68" s="105">
        <v>1</v>
      </c>
      <c r="C68" s="22">
        <f t="shared" ref="C68:M70" si="17">B68</f>
        <v>1</v>
      </c>
      <c r="D68" s="22">
        <f t="shared" si="17"/>
        <v>1</v>
      </c>
      <c r="E68" s="22">
        <f t="shared" si="17"/>
        <v>1</v>
      </c>
      <c r="F68" s="22">
        <f t="shared" si="17"/>
        <v>1</v>
      </c>
      <c r="G68" s="22">
        <f t="shared" si="17"/>
        <v>1</v>
      </c>
      <c r="H68" s="22">
        <f t="shared" si="17"/>
        <v>1</v>
      </c>
      <c r="I68" s="22">
        <f t="shared" si="17"/>
        <v>1</v>
      </c>
      <c r="J68" s="22">
        <f t="shared" si="17"/>
        <v>1</v>
      </c>
      <c r="K68" s="22">
        <f t="shared" si="17"/>
        <v>1</v>
      </c>
      <c r="L68" s="22">
        <f t="shared" si="17"/>
        <v>1</v>
      </c>
      <c r="M68" s="22">
        <f t="shared" si="17"/>
        <v>1</v>
      </c>
      <c r="N68" s="23"/>
    </row>
    <row r="69" spans="1:17" x14ac:dyDescent="0.2">
      <c r="A69" s="30" t="s">
        <v>19</v>
      </c>
      <c r="B69" s="105">
        <v>1</v>
      </c>
      <c r="C69" s="22">
        <f t="shared" si="17"/>
        <v>1</v>
      </c>
      <c r="D69" s="22">
        <f t="shared" si="17"/>
        <v>1</v>
      </c>
      <c r="E69" s="22">
        <f t="shared" si="17"/>
        <v>1</v>
      </c>
      <c r="F69" s="22">
        <f t="shared" si="17"/>
        <v>1</v>
      </c>
      <c r="G69" s="22">
        <f t="shared" si="17"/>
        <v>1</v>
      </c>
      <c r="H69" s="22">
        <f t="shared" si="17"/>
        <v>1</v>
      </c>
      <c r="I69" s="22">
        <f t="shared" si="17"/>
        <v>1</v>
      </c>
      <c r="J69" s="22">
        <f t="shared" si="17"/>
        <v>1</v>
      </c>
      <c r="K69" s="22">
        <f t="shared" si="17"/>
        <v>1</v>
      </c>
      <c r="L69" s="22">
        <f t="shared" si="17"/>
        <v>1</v>
      </c>
      <c r="M69" s="22">
        <f t="shared" si="17"/>
        <v>1</v>
      </c>
      <c r="N69" s="23"/>
    </row>
    <row r="70" spans="1:17" x14ac:dyDescent="0.2">
      <c r="A70" s="96" t="s">
        <v>64</v>
      </c>
      <c r="B70" s="105">
        <v>0</v>
      </c>
      <c r="C70" s="22">
        <f t="shared" si="17"/>
        <v>0</v>
      </c>
      <c r="D70" s="22">
        <f t="shared" si="17"/>
        <v>0</v>
      </c>
      <c r="E70" s="22">
        <f t="shared" si="17"/>
        <v>0</v>
      </c>
      <c r="F70" s="22">
        <f t="shared" si="17"/>
        <v>0</v>
      </c>
      <c r="G70" s="22">
        <f t="shared" si="17"/>
        <v>0</v>
      </c>
      <c r="H70" s="22">
        <f t="shared" si="17"/>
        <v>0</v>
      </c>
      <c r="I70" s="22">
        <f t="shared" si="17"/>
        <v>0</v>
      </c>
      <c r="J70" s="22">
        <f t="shared" si="17"/>
        <v>0</v>
      </c>
      <c r="K70" s="22">
        <f t="shared" si="17"/>
        <v>0</v>
      </c>
      <c r="L70" s="22">
        <f t="shared" si="17"/>
        <v>0</v>
      </c>
      <c r="M70" s="22">
        <f t="shared" si="17"/>
        <v>0</v>
      </c>
      <c r="N70" s="23"/>
    </row>
    <row r="71" spans="1:17" x14ac:dyDescent="0.2">
      <c r="A71" s="49" t="s">
        <v>41</v>
      </c>
      <c r="B71" s="50">
        <v>0</v>
      </c>
      <c r="F71" s="58"/>
      <c r="J71" s="12"/>
      <c r="K71" s="12"/>
      <c r="L71" s="12"/>
      <c r="M71" s="12"/>
    </row>
    <row r="73" spans="1:17" x14ac:dyDescent="0.2">
      <c r="B73" s="58"/>
    </row>
    <row r="74" spans="1:17" s="79" customFormat="1" ht="12.75" x14ac:dyDescent="0.25">
      <c r="A74" s="84" t="s">
        <v>57</v>
      </c>
      <c r="B74" s="84">
        <f>SUM(B3:B4,B63:B64)</f>
        <v>260000</v>
      </c>
      <c r="C74" s="84">
        <f>SUM(C3:C4,C63:C64)</f>
        <v>220000</v>
      </c>
      <c r="D74" s="84">
        <f>SUM(D3:D4,D63:D64)</f>
        <v>225000</v>
      </c>
      <c r="E74" s="84">
        <f>SUM(E3:E4,E63:E64)</f>
        <v>425000</v>
      </c>
      <c r="F74" s="84">
        <f>SUM(F3:F4,F63:F64)</f>
        <v>250000</v>
      </c>
      <c r="G74" s="84">
        <f>SUM(G3:G4,G63:G64)</f>
        <v>270000</v>
      </c>
      <c r="H74" s="84">
        <f>SUM(H3:H4,H63:H64)</f>
        <v>310000</v>
      </c>
      <c r="I74" s="84">
        <f>SUM(I3:I4,I63:I64)</f>
        <v>350000</v>
      </c>
      <c r="J74" s="84">
        <f>SUM(J3:J4,J63:J64)</f>
        <v>270000</v>
      </c>
      <c r="K74" s="84">
        <f>SUM(K3:K4,K63:K64)</f>
        <v>310000</v>
      </c>
      <c r="L74" s="84">
        <f>SUM(L3:L4,L63:L64)</f>
        <v>310000</v>
      </c>
      <c r="M74" s="84">
        <f>SUM(M3:M4,M63:M64)</f>
        <v>310000</v>
      </c>
      <c r="O74" s="85"/>
      <c r="P74" s="85"/>
      <c r="Q74" s="24"/>
    </row>
    <row r="75" spans="1:17" s="79" customFormat="1" x14ac:dyDescent="0.2">
      <c r="A75" s="84" t="s">
        <v>58</v>
      </c>
      <c r="B75" s="84">
        <f>AVERAGE($B74:B74)</f>
        <v>260000</v>
      </c>
      <c r="C75" s="84">
        <f>AVERAGE($B74:C74)</f>
        <v>240000</v>
      </c>
      <c r="D75" s="84">
        <f>AVERAGE($B74:D74)</f>
        <v>235000</v>
      </c>
      <c r="E75" s="84">
        <f>AVERAGE($B74:E74)</f>
        <v>282500</v>
      </c>
      <c r="F75" s="84">
        <f>AVERAGE($B74:F74)</f>
        <v>276000</v>
      </c>
      <c r="G75" s="86">
        <f>AVERAGE($G74:G74)</f>
        <v>270000</v>
      </c>
      <c r="H75" s="84">
        <f>AVERAGE($G74:H74)</f>
        <v>290000</v>
      </c>
      <c r="I75" s="84">
        <f>AVERAGE($G74:I74)</f>
        <v>310000</v>
      </c>
      <c r="J75" s="84">
        <f>AVERAGE($G74:J74)</f>
        <v>300000</v>
      </c>
      <c r="K75" s="84">
        <f>AVERAGE($G74:K74)</f>
        <v>302000</v>
      </c>
      <c r="L75" s="84">
        <f>AVERAGE($G74:L74)</f>
        <v>303333.33333333331</v>
      </c>
      <c r="M75" s="84">
        <f>AVERAGE($G74:M74)</f>
        <v>304285.71428571426</v>
      </c>
      <c r="O75" s="87"/>
      <c r="P75" s="88"/>
      <c r="Q75" s="89"/>
    </row>
    <row r="76" spans="1:17" s="79" customFormat="1" x14ac:dyDescent="0.2">
      <c r="A76" s="84" t="s">
        <v>59</v>
      </c>
      <c r="B76" s="84">
        <f>MIN(B74:B75)</f>
        <v>260000</v>
      </c>
      <c r="C76" s="84">
        <f t="shared" ref="C76:M76" si="18">MIN(C74:C75)</f>
        <v>220000</v>
      </c>
      <c r="D76" s="84">
        <f t="shared" si="18"/>
        <v>225000</v>
      </c>
      <c r="E76" s="84">
        <f t="shared" si="18"/>
        <v>282500</v>
      </c>
      <c r="F76" s="84">
        <f t="shared" si="18"/>
        <v>250000</v>
      </c>
      <c r="G76" s="84">
        <f t="shared" si="18"/>
        <v>270000</v>
      </c>
      <c r="H76" s="84">
        <f t="shared" si="18"/>
        <v>290000</v>
      </c>
      <c r="I76" s="84">
        <f t="shared" si="18"/>
        <v>310000</v>
      </c>
      <c r="J76" s="84">
        <f t="shared" si="18"/>
        <v>270000</v>
      </c>
      <c r="K76" s="84">
        <f t="shared" si="18"/>
        <v>302000</v>
      </c>
      <c r="L76" s="84">
        <f t="shared" si="18"/>
        <v>303333.33333333331</v>
      </c>
      <c r="M76" s="84">
        <f t="shared" si="18"/>
        <v>304285.71428571426</v>
      </c>
      <c r="O76" s="87"/>
      <c r="P76" s="88"/>
      <c r="Q76" s="89"/>
    </row>
    <row r="78" spans="1:17" x14ac:dyDescent="0.2">
      <c r="A78" s="106" t="s">
        <v>66</v>
      </c>
      <c r="B78" s="102">
        <v>318103.83</v>
      </c>
      <c r="C78" s="84">
        <f>B78</f>
        <v>318103.83</v>
      </c>
      <c r="D78" s="102">
        <v>357166.98</v>
      </c>
      <c r="E78" s="84">
        <f>D78</f>
        <v>357166.98</v>
      </c>
      <c r="F78" s="84">
        <f>E78</f>
        <v>357166.98</v>
      </c>
      <c r="G78" s="102">
        <v>410742.03</v>
      </c>
      <c r="H78" s="84">
        <f t="shared" ref="H78:M78" si="19">G78</f>
        <v>410742.03</v>
      </c>
      <c r="I78" s="84">
        <f t="shared" si="19"/>
        <v>410742.03</v>
      </c>
      <c r="J78" s="102">
        <f>G78*1.15</f>
        <v>472353.3345</v>
      </c>
      <c r="K78" s="84">
        <f t="shared" si="19"/>
        <v>472353.3345</v>
      </c>
      <c r="L78" s="84">
        <f t="shared" si="19"/>
        <v>472353.3345</v>
      </c>
      <c r="M78" s="102">
        <f>J78*1.15</f>
        <v>543206.33467499993</v>
      </c>
    </row>
  </sheetData>
  <conditionalFormatting sqref="A62 E62:J62">
    <cfRule type="cellIs" dxfId="5" priority="3" stopIfTrue="1" operator="equal">
      <formula>"x"</formula>
    </cfRule>
  </conditionalFormatting>
  <conditionalFormatting sqref="K62:M62">
    <cfRule type="cellIs" dxfId="4" priority="2" stopIfTrue="1" operator="equal">
      <formula>"x"</formula>
    </cfRule>
  </conditionalFormatting>
  <conditionalFormatting sqref="B62:D62">
    <cfRule type="cellIs" dxfId="3" priority="1" stopIfTrue="1" operator="equal">
      <formula>"x"</formula>
    </cfRule>
  </conditionalFormatting>
  <pageMargins left="0.19685039370078741" right="0.19685039370078741" top="0.74803149606299213" bottom="0.74803149606299213" header="0.31496062992125984" footer="0.31496062992125984"/>
  <pageSetup paperSize="9" scale="91" orientation="landscape" r:id="rId1"/>
  <headerFooter>
    <oddHeader>&amp;L&amp;F&amp;C&amp;A&amp;R&amp;D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3"/>
  <sheetViews>
    <sheetView topLeftCell="A31" workbookViewId="0">
      <selection activeCell="K52" sqref="K52"/>
    </sheetView>
  </sheetViews>
  <sheetFormatPr baseColWidth="10" defaultColWidth="11.42578125" defaultRowHeight="15" x14ac:dyDescent="0.25"/>
  <cols>
    <col min="1" max="1" width="13.5703125" style="4" bestFit="1" customWidth="1"/>
    <col min="2" max="2" width="15.140625" style="4" bestFit="1" customWidth="1"/>
    <col min="3" max="3" width="11.7109375" style="4" bestFit="1" customWidth="1"/>
    <col min="4" max="4" width="11.42578125" style="5"/>
    <col min="5" max="5" width="15" style="4" customWidth="1"/>
    <col min="6" max="6" width="11.42578125" style="5"/>
    <col min="7" max="7" width="14.42578125" customWidth="1"/>
    <col min="8" max="8" width="13.42578125" customWidth="1"/>
    <col min="9" max="9" width="10.28515625" style="79"/>
    <col min="10" max="10" width="14.42578125" customWidth="1"/>
    <col min="11" max="11" width="13.42578125" customWidth="1"/>
    <col min="12" max="14" width="11.42578125" style="5"/>
    <col min="15" max="16" width="11.42578125" style="4"/>
    <col min="17" max="16384" width="11.42578125" style="5"/>
  </cols>
  <sheetData>
    <row r="1" spans="1:20" ht="11.25" x14ac:dyDescent="0.2">
      <c r="A1" s="65">
        <v>-99999999</v>
      </c>
      <c r="B1" s="65">
        <v>0</v>
      </c>
      <c r="C1" s="65">
        <v>0</v>
      </c>
      <c r="D1" s="1">
        <v>0</v>
      </c>
      <c r="E1" s="65">
        <v>0</v>
      </c>
      <c r="G1" s="78" t="s">
        <v>55</v>
      </c>
      <c r="H1" s="78" t="s">
        <v>56</v>
      </c>
      <c r="J1" s="78" t="s">
        <v>55</v>
      </c>
      <c r="K1" s="78" t="s">
        <v>56</v>
      </c>
    </row>
    <row r="2" spans="1:20" ht="11.25" x14ac:dyDescent="0.2">
      <c r="A2" s="66">
        <v>0</v>
      </c>
      <c r="B2" s="98">
        <v>97202</v>
      </c>
      <c r="C2" s="65">
        <v>0</v>
      </c>
      <c r="D2" s="1">
        <v>0.05</v>
      </c>
      <c r="E2" s="65">
        <f t="shared" ref="E2:E4" si="0">A2</f>
        <v>0</v>
      </c>
      <c r="G2" s="80">
        <v>0</v>
      </c>
      <c r="H2" s="80">
        <v>0</v>
      </c>
      <c r="J2" s="80">
        <v>0</v>
      </c>
      <c r="K2" s="80">
        <v>0</v>
      </c>
      <c r="Q2" s="60"/>
      <c r="R2" s="60"/>
      <c r="S2" s="58"/>
      <c r="T2" s="58"/>
    </row>
    <row r="3" spans="1:20" ht="11.25" x14ac:dyDescent="0.2">
      <c r="A3" s="66">
        <f>B2</f>
        <v>97202</v>
      </c>
      <c r="B3" s="98">
        <v>194404.01</v>
      </c>
      <c r="C3" s="65">
        <f t="shared" ref="C3:C4" si="1">(B2-A2)*D2+C2</f>
        <v>4860.1000000000004</v>
      </c>
      <c r="D3" s="1">
        <v>0.09</v>
      </c>
      <c r="E3" s="65">
        <f t="shared" si="0"/>
        <v>97202</v>
      </c>
      <c r="F3" s="56"/>
      <c r="G3" s="97">
        <v>225937</v>
      </c>
      <c r="H3" s="97">
        <v>64737</v>
      </c>
      <c r="J3" s="81">
        <v>280792</v>
      </c>
      <c r="K3" s="81">
        <v>109772.9</v>
      </c>
      <c r="Q3" s="60"/>
      <c r="R3" s="60"/>
      <c r="S3" s="58"/>
      <c r="T3" s="58"/>
    </row>
    <row r="4" spans="1:20" ht="11.25" x14ac:dyDescent="0.2">
      <c r="A4" s="66">
        <f t="shared" ref="A4:A10" si="2">B3</f>
        <v>194404.01</v>
      </c>
      <c r="B4" s="98">
        <v>291606.01</v>
      </c>
      <c r="C4" s="65">
        <f t="shared" si="1"/>
        <v>13608.280900000002</v>
      </c>
      <c r="D4" s="1">
        <v>0.12</v>
      </c>
      <c r="E4" s="65">
        <f t="shared" si="0"/>
        <v>194404.01</v>
      </c>
      <c r="F4" s="56"/>
      <c r="G4" s="97">
        <v>226087</v>
      </c>
      <c r="H4" s="97">
        <v>64180</v>
      </c>
      <c r="J4" s="81">
        <v>280980</v>
      </c>
      <c r="K4" s="81">
        <v>108833.43</v>
      </c>
      <c r="M4" s="108"/>
      <c r="Q4" s="60"/>
      <c r="R4" s="60"/>
      <c r="S4" s="58"/>
      <c r="T4" s="58"/>
    </row>
    <row r="5" spans="1:20" ht="11.25" x14ac:dyDescent="0.2">
      <c r="A5" s="66">
        <f t="shared" si="2"/>
        <v>291606.01</v>
      </c>
      <c r="B5" s="98">
        <v>388808.02</v>
      </c>
      <c r="C5" s="65">
        <f t="shared" ref="C5:C10" si="3">(B4-A4)*D4+C4</f>
        <v>25272.520900000003</v>
      </c>
      <c r="D5" s="1">
        <v>0.15</v>
      </c>
      <c r="E5" s="65">
        <f t="shared" ref="E5:E10" si="4">A5</f>
        <v>291606.01</v>
      </c>
      <c r="F5" s="56"/>
      <c r="G5" s="97">
        <v>226238</v>
      </c>
      <c r="H5" s="97">
        <v>63669</v>
      </c>
      <c r="J5" s="81">
        <v>281167</v>
      </c>
      <c r="K5" s="81">
        <v>107974.11</v>
      </c>
      <c r="Q5" s="60"/>
      <c r="R5" s="60"/>
      <c r="S5" s="58"/>
      <c r="T5" s="58"/>
    </row>
    <row r="6" spans="1:20" ht="11.25" x14ac:dyDescent="0.2">
      <c r="A6" s="66">
        <f t="shared" si="2"/>
        <v>388808.02</v>
      </c>
      <c r="B6" s="98">
        <v>583212.02</v>
      </c>
      <c r="C6" s="65">
        <f t="shared" si="3"/>
        <v>39852.822400000005</v>
      </c>
      <c r="D6" s="1">
        <v>0.19</v>
      </c>
      <c r="E6" s="65">
        <f t="shared" si="4"/>
        <v>388808.02</v>
      </c>
      <c r="F6" s="56"/>
      <c r="G6" s="97">
        <v>226389</v>
      </c>
      <c r="H6" s="97">
        <v>63187</v>
      </c>
      <c r="J6" s="81">
        <v>281354</v>
      </c>
      <c r="K6" s="81">
        <v>107163.05</v>
      </c>
      <c r="S6" s="58"/>
      <c r="T6" s="58"/>
    </row>
    <row r="7" spans="1:20" ht="11.25" x14ac:dyDescent="0.2">
      <c r="A7" s="66">
        <f t="shared" si="2"/>
        <v>583212.02</v>
      </c>
      <c r="B7" s="98">
        <v>777616.02</v>
      </c>
      <c r="C7" s="65">
        <f t="shared" si="3"/>
        <v>76789.582400000014</v>
      </c>
      <c r="D7" s="1">
        <v>0.23</v>
      </c>
      <c r="E7" s="65">
        <f t="shared" si="4"/>
        <v>583212.02</v>
      </c>
      <c r="F7" s="56"/>
      <c r="G7" s="97">
        <v>226539</v>
      </c>
      <c r="H7" s="97">
        <v>62726</v>
      </c>
      <c r="J7" s="81">
        <v>281541</v>
      </c>
      <c r="K7" s="81">
        <v>106386.1</v>
      </c>
      <c r="S7" s="58"/>
      <c r="T7" s="58"/>
    </row>
    <row r="8" spans="1:20" ht="11.25" x14ac:dyDescent="0.2">
      <c r="A8" s="66">
        <f t="shared" si="2"/>
        <v>777616.02</v>
      </c>
      <c r="B8" s="98">
        <v>1166424.03</v>
      </c>
      <c r="C8" s="65">
        <f t="shared" si="3"/>
        <v>121502.50240000003</v>
      </c>
      <c r="D8" s="1">
        <v>0.27</v>
      </c>
      <c r="E8" s="65">
        <f t="shared" si="4"/>
        <v>777616.02</v>
      </c>
      <c r="F8" s="56"/>
      <c r="G8" s="97">
        <v>226690</v>
      </c>
      <c r="H8" s="97">
        <v>62280</v>
      </c>
      <c r="J8" s="81">
        <v>281729</v>
      </c>
      <c r="K8" s="81">
        <v>105635.29</v>
      </c>
      <c r="S8" s="58"/>
      <c r="T8" s="58"/>
    </row>
    <row r="9" spans="1:20" ht="11.25" x14ac:dyDescent="0.2">
      <c r="A9" s="66">
        <f t="shared" si="2"/>
        <v>1166424.03</v>
      </c>
      <c r="B9" s="98">
        <v>1555232.07</v>
      </c>
      <c r="C9" s="65">
        <f>(B8-A8)*D8+C8</f>
        <v>226480.66510000004</v>
      </c>
      <c r="D9" s="1">
        <v>0.31</v>
      </c>
      <c r="E9" s="65">
        <f t="shared" si="4"/>
        <v>1166424.03</v>
      </c>
      <c r="F9" s="56"/>
      <c r="G9" s="97">
        <v>226841</v>
      </c>
      <c r="H9" s="97">
        <v>61848</v>
      </c>
      <c r="J9" s="81">
        <v>281916</v>
      </c>
      <c r="K9" s="81">
        <v>104905.56</v>
      </c>
      <c r="S9" s="58"/>
      <c r="T9" s="58"/>
    </row>
    <row r="10" spans="1:20" ht="11.25" x14ac:dyDescent="0.2">
      <c r="A10" s="66">
        <f t="shared" si="2"/>
        <v>1555232.07</v>
      </c>
      <c r="B10" s="98">
        <v>9999999999</v>
      </c>
      <c r="C10" s="65">
        <f t="shared" si="3"/>
        <v>347011.15750000009</v>
      </c>
      <c r="D10" s="1">
        <v>0.35</v>
      </c>
      <c r="E10" s="65">
        <f t="shared" si="4"/>
        <v>1555232.07</v>
      </c>
      <c r="F10" s="56"/>
      <c r="G10" s="97">
        <v>226991</v>
      </c>
      <c r="H10" s="97">
        <v>61425</v>
      </c>
      <c r="J10" s="81">
        <v>282103</v>
      </c>
      <c r="K10" s="81">
        <v>104193.38</v>
      </c>
      <c r="S10" s="58"/>
      <c r="T10" s="58"/>
    </row>
    <row r="11" spans="1:20" ht="11.25" x14ac:dyDescent="0.2">
      <c r="B11" s="67"/>
      <c r="G11" s="97">
        <v>227142</v>
      </c>
      <c r="H11" s="97">
        <v>61010</v>
      </c>
      <c r="J11" s="81">
        <v>282290</v>
      </c>
      <c r="K11" s="81">
        <v>103496.22</v>
      </c>
      <c r="S11" s="58"/>
      <c r="T11" s="58"/>
    </row>
    <row r="12" spans="1:20" ht="11.25" x14ac:dyDescent="0.2">
      <c r="A12" s="74">
        <v>44197</v>
      </c>
      <c r="G12" s="97">
        <v>227292</v>
      </c>
      <c r="H12" s="97">
        <v>60605</v>
      </c>
      <c r="J12" s="81">
        <v>282477</v>
      </c>
      <c r="K12" s="81">
        <v>102812.13</v>
      </c>
      <c r="S12" s="58"/>
      <c r="T12" s="58"/>
    </row>
    <row r="13" spans="1:20" ht="11.25" x14ac:dyDescent="0.2">
      <c r="A13" s="65">
        <f>A1/12*MONTH($A$12)</f>
        <v>-8333333.25</v>
      </c>
      <c r="B13" s="65">
        <f>B1/12*MONTH($A$12)</f>
        <v>0</v>
      </c>
      <c r="C13" s="65">
        <f>C1/12*MONTH($A$12)</f>
        <v>0</v>
      </c>
      <c r="D13" s="1">
        <f>$D$1</f>
        <v>0</v>
      </c>
      <c r="E13" s="65">
        <f>E1/12*MONTH($A$12)</f>
        <v>0</v>
      </c>
      <c r="G13" s="97">
        <v>227443</v>
      </c>
      <c r="H13" s="97">
        <v>60206</v>
      </c>
      <c r="J13" s="81">
        <v>282665</v>
      </c>
      <c r="K13" s="81">
        <v>102139.59</v>
      </c>
      <c r="S13" s="58"/>
      <c r="T13" s="58"/>
    </row>
    <row r="14" spans="1:20" ht="11.25" x14ac:dyDescent="0.2">
      <c r="A14" s="65">
        <f t="shared" ref="A14:C14" si="5">A2/12*MONTH($A$12)</f>
        <v>0</v>
      </c>
      <c r="B14" s="65">
        <f t="shared" si="5"/>
        <v>8100.166666666667</v>
      </c>
      <c r="C14" s="65">
        <f t="shared" si="5"/>
        <v>0</v>
      </c>
      <c r="D14" s="1">
        <f>$D$2</f>
        <v>0.05</v>
      </c>
      <c r="E14" s="65">
        <f t="shared" ref="E14:E22" si="6">E2/12*MONTH($A$12)</f>
        <v>0</v>
      </c>
      <c r="G14" s="97">
        <v>227594</v>
      </c>
      <c r="H14" s="97">
        <v>59813</v>
      </c>
      <c r="J14" s="81">
        <v>282852</v>
      </c>
      <c r="K14" s="81">
        <v>101477.37</v>
      </c>
      <c r="S14" s="58"/>
      <c r="T14" s="58"/>
    </row>
    <row r="15" spans="1:20" ht="11.25" x14ac:dyDescent="0.2">
      <c r="A15" s="65">
        <f t="shared" ref="A15:C15" si="7">A3/12*MONTH($A$12)</f>
        <v>8100.166666666667</v>
      </c>
      <c r="B15" s="65">
        <f t="shared" si="7"/>
        <v>16200.334166666667</v>
      </c>
      <c r="C15" s="65">
        <f t="shared" si="7"/>
        <v>405.00833333333338</v>
      </c>
      <c r="D15" s="1">
        <f>$D$3</f>
        <v>0.09</v>
      </c>
      <c r="E15" s="65">
        <f t="shared" si="6"/>
        <v>8100.166666666667</v>
      </c>
      <c r="G15" s="97">
        <v>227744</v>
      </c>
      <c r="H15" s="97">
        <v>59424</v>
      </c>
      <c r="J15" s="81">
        <v>283039</v>
      </c>
      <c r="K15" s="81">
        <v>100824.48</v>
      </c>
      <c r="S15" s="58"/>
      <c r="T15" s="58"/>
    </row>
    <row r="16" spans="1:20" ht="11.25" x14ac:dyDescent="0.2">
      <c r="A16" s="65">
        <f t="shared" ref="A16:C16" si="8">A4/12*MONTH($A$12)</f>
        <v>16200.334166666667</v>
      </c>
      <c r="B16" s="65">
        <f t="shared" si="8"/>
        <v>24300.500833333335</v>
      </c>
      <c r="C16" s="65">
        <f t="shared" si="8"/>
        <v>1134.0234083333335</v>
      </c>
      <c r="D16" s="1">
        <f>$D$4</f>
        <v>0.12</v>
      </c>
      <c r="E16" s="65">
        <f t="shared" si="6"/>
        <v>16200.334166666667</v>
      </c>
      <c r="G16" s="97">
        <v>227895</v>
      </c>
      <c r="H16" s="97">
        <v>59043</v>
      </c>
      <c r="J16" s="81">
        <v>283226</v>
      </c>
      <c r="K16" s="81">
        <v>100180.08</v>
      </c>
      <c r="S16" s="58"/>
      <c r="T16" s="58"/>
    </row>
    <row r="17" spans="1:20" ht="11.25" x14ac:dyDescent="0.2">
      <c r="A17" s="65">
        <f t="shared" ref="A17:C17" si="9">A5/12*MONTH($A$12)</f>
        <v>24300.500833333335</v>
      </c>
      <c r="B17" s="65">
        <f t="shared" si="9"/>
        <v>32400.668333333335</v>
      </c>
      <c r="C17" s="65">
        <f t="shared" si="9"/>
        <v>2106.0434083333334</v>
      </c>
      <c r="D17" s="1">
        <f>$D$5</f>
        <v>0.15</v>
      </c>
      <c r="E17" s="65">
        <f t="shared" si="6"/>
        <v>24300.500833333335</v>
      </c>
      <c r="G17" s="97">
        <v>228046</v>
      </c>
      <c r="H17" s="97">
        <v>58665</v>
      </c>
      <c r="J17" s="81">
        <v>283413</v>
      </c>
      <c r="K17" s="81">
        <v>99543.46</v>
      </c>
      <c r="S17" s="58"/>
      <c r="T17" s="58"/>
    </row>
    <row r="18" spans="1:20" ht="11.25" x14ac:dyDescent="0.2">
      <c r="A18" s="65">
        <f t="shared" ref="A18:C18" si="10">A6/12*MONTH($A$12)</f>
        <v>32400.668333333335</v>
      </c>
      <c r="B18" s="65">
        <f t="shared" si="10"/>
        <v>48601.001666666671</v>
      </c>
      <c r="C18" s="65">
        <f t="shared" si="10"/>
        <v>3321.0685333333336</v>
      </c>
      <c r="D18" s="1">
        <f>$D$6</f>
        <v>0.19</v>
      </c>
      <c r="E18" s="65">
        <f t="shared" si="6"/>
        <v>32400.668333333335</v>
      </c>
      <c r="G18" s="97">
        <v>228196</v>
      </c>
      <c r="H18" s="97">
        <v>58292</v>
      </c>
      <c r="J18" s="81">
        <v>283600</v>
      </c>
      <c r="K18" s="81">
        <v>98914.02</v>
      </c>
      <c r="S18" s="58"/>
      <c r="T18" s="58"/>
    </row>
    <row r="19" spans="1:20" ht="11.25" x14ac:dyDescent="0.2">
      <c r="A19" s="65">
        <f t="shared" ref="A19:C19" si="11">A7/12*MONTH($A$12)</f>
        <v>48601.001666666671</v>
      </c>
      <c r="B19" s="65">
        <f t="shared" si="11"/>
        <v>64801.334999999999</v>
      </c>
      <c r="C19" s="65">
        <f t="shared" si="11"/>
        <v>6399.1318666666675</v>
      </c>
      <c r="D19" s="1">
        <f>$D$7</f>
        <v>0.23</v>
      </c>
      <c r="E19" s="65">
        <f t="shared" si="6"/>
        <v>48601.001666666671</v>
      </c>
      <c r="G19" s="97">
        <v>228347</v>
      </c>
      <c r="H19" s="97">
        <v>57921</v>
      </c>
      <c r="J19" s="81">
        <v>283788</v>
      </c>
      <c r="K19" s="81">
        <v>98291.23</v>
      </c>
      <c r="S19" s="58"/>
      <c r="T19" s="58"/>
    </row>
    <row r="20" spans="1:20" ht="11.25" x14ac:dyDescent="0.2">
      <c r="A20" s="65">
        <f t="shared" ref="A20:C20" si="12">A8/12*MONTH($A$12)</f>
        <v>64801.334999999999</v>
      </c>
      <c r="B20" s="65">
        <f t="shared" si="12"/>
        <v>97202.002500000002</v>
      </c>
      <c r="C20" s="65">
        <f t="shared" si="12"/>
        <v>10125.208533333336</v>
      </c>
      <c r="D20" s="1">
        <f>$D$8</f>
        <v>0.27</v>
      </c>
      <c r="E20" s="65">
        <f t="shared" si="6"/>
        <v>64801.334999999999</v>
      </c>
      <c r="G20" s="97">
        <v>228497</v>
      </c>
      <c r="H20" s="97">
        <v>57555</v>
      </c>
      <c r="J20" s="81">
        <v>283975</v>
      </c>
      <c r="K20" s="81">
        <v>97674.64</v>
      </c>
      <c r="S20" s="58"/>
      <c r="T20" s="58"/>
    </row>
    <row r="21" spans="1:20" ht="11.25" x14ac:dyDescent="0.2">
      <c r="A21" s="65">
        <f t="shared" ref="A21:C21" si="13">A9/12*MONTH($A$12)</f>
        <v>97202.002500000002</v>
      </c>
      <c r="B21" s="65">
        <f t="shared" si="13"/>
        <v>129602.6725</v>
      </c>
      <c r="C21" s="65">
        <f t="shared" si="13"/>
        <v>18873.388758333338</v>
      </c>
      <c r="D21" s="1">
        <f>$D$9</f>
        <v>0.31</v>
      </c>
      <c r="E21" s="65">
        <f t="shared" si="6"/>
        <v>97202.002500000002</v>
      </c>
      <c r="G21" s="97">
        <v>228648</v>
      </c>
      <c r="H21" s="97">
        <v>57192</v>
      </c>
      <c r="J21" s="81">
        <v>284162</v>
      </c>
      <c r="K21" s="81">
        <v>97063.86</v>
      </c>
      <c r="S21" s="58"/>
      <c r="T21" s="58"/>
    </row>
    <row r="22" spans="1:20" ht="11.25" x14ac:dyDescent="0.2">
      <c r="A22" s="65">
        <f t="shared" ref="A22:C22" si="14">A10/12*MONTH($A$12)</f>
        <v>129602.6725</v>
      </c>
      <c r="B22" s="65">
        <f t="shared" si="14"/>
        <v>833333333.25</v>
      </c>
      <c r="C22" s="65">
        <f t="shared" si="14"/>
        <v>28917.596458333341</v>
      </c>
      <c r="D22" s="1">
        <f>$D$10</f>
        <v>0.35</v>
      </c>
      <c r="E22" s="65">
        <f t="shared" si="6"/>
        <v>129602.6725</v>
      </c>
      <c r="G22" s="97">
        <v>228799</v>
      </c>
      <c r="H22" s="97">
        <v>56834</v>
      </c>
      <c r="J22" s="81">
        <v>284349</v>
      </c>
      <c r="K22" s="81">
        <v>96458.51</v>
      </c>
      <c r="S22" s="58"/>
      <c r="T22" s="58"/>
    </row>
    <row r="23" spans="1:20" ht="11.25" x14ac:dyDescent="0.2">
      <c r="G23" s="97">
        <v>228949</v>
      </c>
      <c r="H23" s="97">
        <v>56477</v>
      </c>
      <c r="J23" s="81">
        <v>284536</v>
      </c>
      <c r="K23" s="81">
        <v>95858.29</v>
      </c>
      <c r="S23" s="58"/>
      <c r="T23" s="58"/>
    </row>
    <row r="24" spans="1:20" ht="11.25" x14ac:dyDescent="0.2">
      <c r="A24" s="74">
        <v>44228</v>
      </c>
      <c r="G24" s="97">
        <v>229100</v>
      </c>
      <c r="H24" s="97">
        <v>56124</v>
      </c>
      <c r="J24" s="81">
        <v>284724</v>
      </c>
      <c r="K24" s="81">
        <v>95262.91</v>
      </c>
      <c r="S24" s="58"/>
      <c r="T24" s="58"/>
    </row>
    <row r="25" spans="1:20" ht="11.25" x14ac:dyDescent="0.2">
      <c r="A25" s="65">
        <f>A1/12*MONTH($A$24)</f>
        <v>-16666666.5</v>
      </c>
      <c r="B25" s="65">
        <f>B1/12*MONTH($A$24)</f>
        <v>0</v>
      </c>
      <c r="C25" s="65">
        <f>C1/12*MONTH($A$24)</f>
        <v>0</v>
      </c>
      <c r="D25" s="1">
        <f>$D$1</f>
        <v>0</v>
      </c>
      <c r="E25" s="65">
        <f>E1/12*MONTH($A$24)</f>
        <v>0</v>
      </c>
      <c r="G25" s="97">
        <v>229251</v>
      </c>
      <c r="H25" s="97">
        <v>55773</v>
      </c>
      <c r="J25" s="81">
        <v>284911</v>
      </c>
      <c r="K25" s="81">
        <v>94672.12</v>
      </c>
      <c r="S25" s="58"/>
      <c r="T25" s="58"/>
    </row>
    <row r="26" spans="1:20" ht="11.25" x14ac:dyDescent="0.2">
      <c r="A26" s="65">
        <f t="shared" ref="A26:C26" si="15">A2/12*MONTH($A$24)</f>
        <v>0</v>
      </c>
      <c r="B26" s="65">
        <f t="shared" si="15"/>
        <v>16200.333333333334</v>
      </c>
      <c r="C26" s="65">
        <f t="shared" si="15"/>
        <v>0</v>
      </c>
      <c r="D26" s="1">
        <f>$D$2</f>
        <v>0.05</v>
      </c>
      <c r="E26" s="65">
        <f t="shared" ref="E26:E34" si="16">E2/12*MONTH($A$24)</f>
        <v>0</v>
      </c>
      <c r="G26" s="97">
        <v>229401</v>
      </c>
      <c r="H26" s="97">
        <v>55425</v>
      </c>
      <c r="J26" s="81">
        <v>285098</v>
      </c>
      <c r="K26" s="81">
        <v>94085.67</v>
      </c>
      <c r="S26" s="58"/>
      <c r="T26" s="58"/>
    </row>
    <row r="27" spans="1:20" ht="11.25" x14ac:dyDescent="0.2">
      <c r="A27" s="65">
        <f t="shared" ref="A27:C27" si="17">A3/12*MONTH($A$24)</f>
        <v>16200.333333333334</v>
      </c>
      <c r="B27" s="65">
        <f t="shared" si="17"/>
        <v>32400.668333333335</v>
      </c>
      <c r="C27" s="65">
        <f t="shared" si="17"/>
        <v>810.01666666666677</v>
      </c>
      <c r="D27" s="1">
        <f>$D$3</f>
        <v>0.09</v>
      </c>
      <c r="E27" s="65">
        <f t="shared" si="16"/>
        <v>16200.333333333334</v>
      </c>
      <c r="G27" s="97">
        <v>229552</v>
      </c>
      <c r="H27" s="97">
        <v>55079</v>
      </c>
      <c r="J27" s="81">
        <v>285285</v>
      </c>
      <c r="K27" s="81">
        <v>93503.37</v>
      </c>
      <c r="S27" s="58"/>
      <c r="T27" s="58"/>
    </row>
    <row r="28" spans="1:20" ht="11.25" x14ac:dyDescent="0.2">
      <c r="A28" s="65">
        <f t="shared" ref="A28:C28" si="18">A4/12*MONTH($A$24)</f>
        <v>32400.668333333335</v>
      </c>
      <c r="B28" s="65">
        <f t="shared" si="18"/>
        <v>48601.001666666671</v>
      </c>
      <c r="C28" s="65">
        <f t="shared" si="18"/>
        <v>2268.0468166666669</v>
      </c>
      <c r="D28" s="1">
        <f>$D$4</f>
        <v>0.12</v>
      </c>
      <c r="E28" s="65">
        <f t="shared" si="16"/>
        <v>32400.668333333335</v>
      </c>
      <c r="G28" s="97">
        <v>229702</v>
      </c>
      <c r="H28" s="97">
        <v>54735</v>
      </c>
      <c r="J28" s="81">
        <v>285472</v>
      </c>
      <c r="K28" s="81">
        <v>92925.01</v>
      </c>
      <c r="S28" s="58"/>
      <c r="T28" s="58"/>
    </row>
    <row r="29" spans="1:20" ht="11.25" x14ac:dyDescent="0.2">
      <c r="A29" s="65">
        <f t="shared" ref="A29:C29" si="19">A5/12*MONTH($A$24)</f>
        <v>48601.001666666671</v>
      </c>
      <c r="B29" s="65">
        <f t="shared" si="19"/>
        <v>64801.33666666667</v>
      </c>
      <c r="C29" s="65">
        <f t="shared" si="19"/>
        <v>4212.0868166666669</v>
      </c>
      <c r="D29" s="1">
        <f>$D$5</f>
        <v>0.15</v>
      </c>
      <c r="E29" s="65">
        <f t="shared" si="16"/>
        <v>48601.001666666671</v>
      </c>
      <c r="G29" s="97">
        <v>229853</v>
      </c>
      <c r="H29" s="97">
        <v>54395</v>
      </c>
      <c r="J29" s="81">
        <v>285660</v>
      </c>
      <c r="K29" s="81">
        <v>92350.43</v>
      </c>
      <c r="S29" s="58"/>
      <c r="T29" s="58"/>
    </row>
    <row r="30" spans="1:20" ht="11.25" x14ac:dyDescent="0.2">
      <c r="A30" s="65">
        <f t="shared" ref="A30:C30" si="20">A6/12*MONTH($A$24)</f>
        <v>64801.33666666667</v>
      </c>
      <c r="B30" s="65">
        <f t="shared" si="20"/>
        <v>97202.003333333341</v>
      </c>
      <c r="C30" s="65">
        <f t="shared" si="20"/>
        <v>6642.1370666666671</v>
      </c>
      <c r="D30" s="1">
        <f>$D$6</f>
        <v>0.19</v>
      </c>
      <c r="E30" s="65">
        <f t="shared" si="16"/>
        <v>64801.33666666667</v>
      </c>
      <c r="G30" s="97">
        <v>230004</v>
      </c>
      <c r="H30" s="97">
        <v>54056</v>
      </c>
      <c r="J30" s="81">
        <v>285847</v>
      </c>
      <c r="K30" s="81">
        <v>91779.45</v>
      </c>
      <c r="S30" s="58"/>
      <c r="T30" s="58"/>
    </row>
    <row r="31" spans="1:20" ht="11.25" x14ac:dyDescent="0.2">
      <c r="A31" s="65">
        <f t="shared" ref="A31:C31" si="21">A7/12*MONTH($A$24)</f>
        <v>97202.003333333341</v>
      </c>
      <c r="B31" s="65">
        <f t="shared" si="21"/>
        <v>129602.67</v>
      </c>
      <c r="C31" s="65">
        <f t="shared" si="21"/>
        <v>12798.263733333335</v>
      </c>
      <c r="D31" s="1">
        <f>$D$7</f>
        <v>0.23</v>
      </c>
      <c r="E31" s="65">
        <f t="shared" si="16"/>
        <v>97202.003333333341</v>
      </c>
      <c r="G31" s="97">
        <v>230154</v>
      </c>
      <c r="H31" s="97">
        <v>53719</v>
      </c>
      <c r="J31" s="81">
        <v>286034</v>
      </c>
      <c r="K31" s="81">
        <v>91211.92</v>
      </c>
      <c r="S31" s="58"/>
      <c r="T31" s="58"/>
    </row>
    <row r="32" spans="1:20" ht="11.25" x14ac:dyDescent="0.2">
      <c r="A32" s="65">
        <f t="shared" ref="A32:C32" si="22">A8/12*MONTH($A$24)</f>
        <v>129602.67</v>
      </c>
      <c r="B32" s="65">
        <f t="shared" si="22"/>
        <v>194404.005</v>
      </c>
      <c r="C32" s="65">
        <f t="shared" si="22"/>
        <v>20250.417066666672</v>
      </c>
      <c r="D32" s="1">
        <f>$D$8</f>
        <v>0.27</v>
      </c>
      <c r="E32" s="65">
        <f t="shared" si="16"/>
        <v>129602.67</v>
      </c>
      <c r="G32" s="97">
        <v>230305</v>
      </c>
      <c r="H32" s="97">
        <v>53384</v>
      </c>
      <c r="J32" s="81">
        <v>286221</v>
      </c>
      <c r="K32" s="81">
        <v>90647.72</v>
      </c>
      <c r="S32" s="58"/>
      <c r="T32" s="58"/>
    </row>
    <row r="33" spans="1:20" ht="11.25" x14ac:dyDescent="0.2">
      <c r="A33" s="65">
        <f t="shared" ref="A33:C33" si="23">A9/12*MONTH($A$24)</f>
        <v>194404.005</v>
      </c>
      <c r="B33" s="65">
        <f t="shared" si="23"/>
        <v>259205.345</v>
      </c>
      <c r="C33" s="65">
        <f t="shared" si="23"/>
        <v>37746.777516666676</v>
      </c>
      <c r="D33" s="1">
        <f>$D$9</f>
        <v>0.31</v>
      </c>
      <c r="E33" s="65">
        <f t="shared" si="16"/>
        <v>194404.005</v>
      </c>
      <c r="G33" s="97">
        <v>230456</v>
      </c>
      <c r="H33" s="97">
        <v>53051</v>
      </c>
      <c r="J33" s="81">
        <v>286408</v>
      </c>
      <c r="K33" s="81">
        <v>90086.7</v>
      </c>
      <c r="T33" s="58"/>
    </row>
    <row r="34" spans="1:20" ht="11.25" x14ac:dyDescent="0.2">
      <c r="A34" s="65">
        <f t="shared" ref="A34:C34" si="24">A10/12*MONTH($A$24)</f>
        <v>259205.345</v>
      </c>
      <c r="B34" s="65">
        <f t="shared" si="24"/>
        <v>1666666666.5</v>
      </c>
      <c r="C34" s="65">
        <f t="shared" si="24"/>
        <v>57835.192916666681</v>
      </c>
      <c r="D34" s="1">
        <f>$D$10</f>
        <v>0.35</v>
      </c>
      <c r="E34" s="65">
        <f t="shared" si="16"/>
        <v>259205.345</v>
      </c>
      <c r="G34" s="97">
        <v>230606</v>
      </c>
      <c r="H34" s="97">
        <v>52720</v>
      </c>
      <c r="J34" s="81">
        <v>286596</v>
      </c>
      <c r="K34" s="81">
        <v>89528.75</v>
      </c>
      <c r="T34" s="58"/>
    </row>
    <row r="35" spans="1:20" ht="11.25" x14ac:dyDescent="0.2">
      <c r="G35" s="97">
        <v>230757</v>
      </c>
      <c r="H35" s="97">
        <v>52390</v>
      </c>
      <c r="J35" s="81">
        <v>286783</v>
      </c>
      <c r="K35" s="81">
        <v>88973.759999999995</v>
      </c>
    </row>
    <row r="36" spans="1:20" ht="11.25" x14ac:dyDescent="0.2">
      <c r="A36" s="74">
        <v>44256</v>
      </c>
      <c r="G36" s="97">
        <v>230907</v>
      </c>
      <c r="H36" s="97">
        <v>52063</v>
      </c>
      <c r="J36" s="81">
        <v>286970</v>
      </c>
      <c r="K36" s="81">
        <v>88421.62</v>
      </c>
    </row>
    <row r="37" spans="1:20" ht="11.25" x14ac:dyDescent="0.2">
      <c r="A37" s="65">
        <f>A1/12*MONTH($A$36)</f>
        <v>-24999999.75</v>
      </c>
      <c r="B37" s="65">
        <f>B1/12*MONTH($A$36)</f>
        <v>0</v>
      </c>
      <c r="C37" s="65">
        <f>C1/12*MONTH($A$36)</f>
        <v>0</v>
      </c>
      <c r="D37" s="1">
        <f>$D$1</f>
        <v>0</v>
      </c>
      <c r="E37" s="65">
        <f>E1/12*MONTH($A$36)</f>
        <v>0</v>
      </c>
      <c r="G37" s="97">
        <v>231058</v>
      </c>
      <c r="H37" s="97">
        <v>51737</v>
      </c>
      <c r="J37" s="81">
        <v>287157</v>
      </c>
      <c r="K37" s="81">
        <v>87872.23</v>
      </c>
    </row>
    <row r="38" spans="1:20" ht="11.25" x14ac:dyDescent="0.2">
      <c r="A38" s="65">
        <f t="shared" ref="A38:C38" si="25">A2/12*MONTH($A$36)</f>
        <v>0</v>
      </c>
      <c r="B38" s="65">
        <f t="shared" si="25"/>
        <v>24300.5</v>
      </c>
      <c r="C38" s="65">
        <f t="shared" si="25"/>
        <v>0</v>
      </c>
      <c r="D38" s="1">
        <f>$D$2</f>
        <v>0.05</v>
      </c>
      <c r="E38" s="65">
        <f t="shared" ref="E38:E46" si="26">E2/12*MONTH($A$36)</f>
        <v>0</v>
      </c>
      <c r="G38" s="97">
        <v>231209</v>
      </c>
      <c r="H38" s="97">
        <v>51413</v>
      </c>
      <c r="J38" s="81">
        <v>287344</v>
      </c>
      <c r="K38" s="81">
        <v>87325.51</v>
      </c>
    </row>
    <row r="39" spans="1:20" ht="11.25" x14ac:dyDescent="0.2">
      <c r="A39" s="65">
        <f t="shared" ref="A39:C39" si="27">A3/12*MONTH($A$36)</f>
        <v>24300.5</v>
      </c>
      <c r="B39" s="65">
        <f t="shared" si="27"/>
        <v>48601.002500000002</v>
      </c>
      <c r="C39" s="65">
        <f t="shared" si="27"/>
        <v>1215.0250000000001</v>
      </c>
      <c r="D39" s="1">
        <f>$D$3</f>
        <v>0.09</v>
      </c>
      <c r="E39" s="65">
        <f t="shared" si="26"/>
        <v>24300.5</v>
      </c>
      <c r="G39" s="97">
        <v>231359</v>
      </c>
      <c r="H39" s="97">
        <v>51089</v>
      </c>
      <c r="J39" s="81">
        <v>287532</v>
      </c>
      <c r="K39" s="81">
        <v>86781.36</v>
      </c>
    </row>
    <row r="40" spans="1:20" ht="11.25" x14ac:dyDescent="0.2">
      <c r="A40" s="65">
        <f t="shared" ref="A40:C40" si="28">A4/12*MONTH($A$36)</f>
        <v>48601.002500000002</v>
      </c>
      <c r="B40" s="65">
        <f t="shared" si="28"/>
        <v>72901.502500000002</v>
      </c>
      <c r="C40" s="65">
        <f t="shared" si="28"/>
        <v>3402.0702250000004</v>
      </c>
      <c r="D40" s="1">
        <f>$D$4</f>
        <v>0.12</v>
      </c>
      <c r="E40" s="65">
        <f t="shared" si="26"/>
        <v>48601.002500000002</v>
      </c>
      <c r="G40" s="97">
        <v>231510</v>
      </c>
      <c r="H40" s="97">
        <v>50768</v>
      </c>
      <c r="J40" s="81">
        <v>287719</v>
      </c>
      <c r="K40" s="81">
        <v>86239.7</v>
      </c>
    </row>
    <row r="41" spans="1:20" ht="11.25" x14ac:dyDescent="0.2">
      <c r="A41" s="65">
        <f t="shared" ref="A41:C41" si="29">A5/12*MONTH($A$36)</f>
        <v>72901.502500000002</v>
      </c>
      <c r="B41" s="65">
        <f t="shared" si="29"/>
        <v>97202.005000000005</v>
      </c>
      <c r="C41" s="65">
        <f t="shared" si="29"/>
        <v>6318.1302250000008</v>
      </c>
      <c r="D41" s="1">
        <f>$D$5</f>
        <v>0.15</v>
      </c>
      <c r="E41" s="65">
        <f t="shared" si="26"/>
        <v>72901.502500000002</v>
      </c>
      <c r="G41" s="97">
        <v>231661</v>
      </c>
      <c r="H41" s="97">
        <v>50447</v>
      </c>
      <c r="J41" s="81">
        <v>287906</v>
      </c>
      <c r="K41" s="81">
        <v>85700.47</v>
      </c>
    </row>
    <row r="42" spans="1:20" ht="11.25" x14ac:dyDescent="0.2">
      <c r="A42" s="65">
        <f t="shared" ref="A42:C42" si="30">A6/12*MONTH($A$36)</f>
        <v>97202.005000000005</v>
      </c>
      <c r="B42" s="65">
        <f t="shared" si="30"/>
        <v>145803.005</v>
      </c>
      <c r="C42" s="65">
        <f t="shared" si="30"/>
        <v>9963.2056000000011</v>
      </c>
      <c r="D42" s="1">
        <f>$D$6</f>
        <v>0.19</v>
      </c>
      <c r="E42" s="65">
        <f t="shared" si="26"/>
        <v>97202.005000000005</v>
      </c>
      <c r="G42" s="97">
        <v>231811</v>
      </c>
      <c r="H42" s="97">
        <v>50129</v>
      </c>
      <c r="J42" s="81">
        <v>288093</v>
      </c>
      <c r="K42" s="81">
        <v>85163.58</v>
      </c>
    </row>
    <row r="43" spans="1:20" ht="11.25" x14ac:dyDescent="0.2">
      <c r="A43" s="65">
        <f t="shared" ref="A43:C43" si="31">A7/12*MONTH($A$36)</f>
        <v>145803.005</v>
      </c>
      <c r="B43" s="65">
        <f t="shared" si="31"/>
        <v>194404.005</v>
      </c>
      <c r="C43" s="65">
        <f t="shared" si="31"/>
        <v>19197.395600000003</v>
      </c>
      <c r="D43" s="1">
        <f>$D$7</f>
        <v>0.23</v>
      </c>
      <c r="E43" s="65">
        <f t="shared" si="26"/>
        <v>145803.005</v>
      </c>
      <c r="G43" s="97">
        <v>231962</v>
      </c>
      <c r="H43" s="97">
        <v>49812</v>
      </c>
      <c r="J43" s="81">
        <v>288280</v>
      </c>
      <c r="K43" s="81">
        <v>84628.96</v>
      </c>
    </row>
    <row r="44" spans="1:20" ht="11.25" x14ac:dyDescent="0.2">
      <c r="A44" s="65">
        <f t="shared" ref="A44:C44" si="32">A8/12*MONTH($A$36)</f>
        <v>194404.005</v>
      </c>
      <c r="B44" s="65">
        <f t="shared" si="32"/>
        <v>291606.00750000001</v>
      </c>
      <c r="C44" s="65">
        <f t="shared" si="32"/>
        <v>30375.625600000007</v>
      </c>
      <c r="D44" s="1">
        <f>$D$8</f>
        <v>0.27</v>
      </c>
      <c r="E44" s="65">
        <f t="shared" si="26"/>
        <v>194404.005</v>
      </c>
      <c r="G44" s="97">
        <v>232112</v>
      </c>
      <c r="H44" s="97">
        <v>49495</v>
      </c>
      <c r="J44" s="81">
        <v>288468</v>
      </c>
      <c r="K44" s="81">
        <v>84096.56</v>
      </c>
    </row>
    <row r="45" spans="1:20" ht="11.25" x14ac:dyDescent="0.2">
      <c r="A45" s="65">
        <f t="shared" ref="A45:C45" si="33">A9/12*MONTH($A$36)</f>
        <v>291606.00750000001</v>
      </c>
      <c r="B45" s="65">
        <f t="shared" si="33"/>
        <v>388808.01750000002</v>
      </c>
      <c r="C45" s="65">
        <f t="shared" si="33"/>
        <v>56620.166275000011</v>
      </c>
      <c r="D45" s="1">
        <f>$D$9</f>
        <v>0.31</v>
      </c>
      <c r="E45" s="65">
        <f t="shared" si="26"/>
        <v>291606.00750000001</v>
      </c>
      <c r="G45" s="97">
        <v>232263</v>
      </c>
      <c r="H45" s="97">
        <v>49180</v>
      </c>
      <c r="J45" s="81">
        <v>288655</v>
      </c>
      <c r="K45" s="81">
        <v>83566.31</v>
      </c>
    </row>
    <row r="46" spans="1:20" ht="11.25" x14ac:dyDescent="0.2">
      <c r="A46" s="65">
        <f t="shared" ref="A46:C46" si="34">A10/12*MONTH($A$36)</f>
        <v>388808.01750000002</v>
      </c>
      <c r="B46" s="65">
        <f t="shared" si="34"/>
        <v>2499999999.75</v>
      </c>
      <c r="C46" s="65">
        <f t="shared" si="34"/>
        <v>86752.789375000022</v>
      </c>
      <c r="D46" s="1">
        <f>$D$10</f>
        <v>0.35</v>
      </c>
      <c r="E46" s="65">
        <f t="shared" si="26"/>
        <v>388808.01750000002</v>
      </c>
      <c r="G46" s="97">
        <v>232414</v>
      </c>
      <c r="H46" s="97">
        <v>48867</v>
      </c>
      <c r="J46" s="81">
        <v>288842</v>
      </c>
      <c r="K46" s="81">
        <v>83038.149999999994</v>
      </c>
    </row>
    <row r="47" spans="1:20" ht="11.25" x14ac:dyDescent="0.2">
      <c r="G47" s="97">
        <v>232564</v>
      </c>
      <c r="H47" s="97">
        <v>48555</v>
      </c>
      <c r="J47" s="81">
        <v>289029</v>
      </c>
      <c r="K47" s="81">
        <v>82512.03</v>
      </c>
    </row>
    <row r="48" spans="1:20" ht="11.25" x14ac:dyDescent="0.2">
      <c r="A48" s="74">
        <v>44287</v>
      </c>
      <c r="G48" s="97">
        <v>232715</v>
      </c>
      <c r="H48" s="97">
        <v>48244</v>
      </c>
      <c r="J48" s="81">
        <v>289216</v>
      </c>
      <c r="K48" s="81">
        <v>81987.89</v>
      </c>
    </row>
    <row r="49" spans="1:11" ht="11.25" x14ac:dyDescent="0.2">
      <c r="A49" s="65">
        <f>A1/12*MONTH($A$48)</f>
        <v>-33333333</v>
      </c>
      <c r="B49" s="65">
        <f>B1/12*MONTH($A$48)</f>
        <v>0</v>
      </c>
      <c r="C49" s="65">
        <f>C1/12*MONTH($A$48)</f>
        <v>0</v>
      </c>
      <c r="D49" s="1">
        <f>$D$1</f>
        <v>0</v>
      </c>
      <c r="E49" s="65">
        <f>E1/12*MONTH($A$36)</f>
        <v>0</v>
      </c>
      <c r="G49" s="97">
        <v>232866</v>
      </c>
      <c r="H49" s="97">
        <v>47935</v>
      </c>
      <c r="J49" s="81">
        <v>289404</v>
      </c>
      <c r="K49" s="81">
        <v>81465.69</v>
      </c>
    </row>
    <row r="50" spans="1:11" ht="11.25" x14ac:dyDescent="0.2">
      <c r="A50" s="65">
        <f t="shared" ref="A50:C50" si="35">A2/12*MONTH($A$48)</f>
        <v>0</v>
      </c>
      <c r="B50" s="65">
        <f t="shared" si="35"/>
        <v>32400.666666666668</v>
      </c>
      <c r="C50" s="65">
        <f t="shared" si="35"/>
        <v>0</v>
      </c>
      <c r="D50" s="1">
        <f>$D$2</f>
        <v>0.05</v>
      </c>
      <c r="E50" s="65">
        <f t="shared" ref="E50:E58" si="36">E2/12*MONTH($A$36)</f>
        <v>0</v>
      </c>
      <c r="G50" s="97">
        <v>233016</v>
      </c>
      <c r="H50" s="97">
        <v>47624</v>
      </c>
      <c r="J50" s="81">
        <v>289591</v>
      </c>
      <c r="K50" s="81">
        <v>80945.37</v>
      </c>
    </row>
    <row r="51" spans="1:11" ht="11.25" x14ac:dyDescent="0.2">
      <c r="A51" s="65">
        <f t="shared" ref="A51:C51" si="37">A3/12*MONTH($A$48)</f>
        <v>32400.666666666668</v>
      </c>
      <c r="B51" s="65">
        <f t="shared" si="37"/>
        <v>64801.33666666667</v>
      </c>
      <c r="C51" s="65">
        <f t="shared" si="37"/>
        <v>1620.0333333333335</v>
      </c>
      <c r="D51" s="1">
        <f>$D$3</f>
        <v>0.09</v>
      </c>
      <c r="E51" s="65">
        <f t="shared" si="36"/>
        <v>24300.5</v>
      </c>
      <c r="G51" s="97">
        <v>233167</v>
      </c>
      <c r="H51" s="97">
        <v>47317</v>
      </c>
      <c r="J51" s="81">
        <v>289778</v>
      </c>
      <c r="K51" s="81">
        <v>80426.89</v>
      </c>
    </row>
    <row r="52" spans="1:11" ht="11.25" x14ac:dyDescent="0.2">
      <c r="A52" s="65">
        <f t="shared" ref="A52:C52" si="38">A4/12*MONTH($A$48)</f>
        <v>64801.33666666667</v>
      </c>
      <c r="B52" s="65">
        <f t="shared" si="38"/>
        <v>97202.003333333341</v>
      </c>
      <c r="C52" s="65">
        <f t="shared" si="38"/>
        <v>4536.0936333333339</v>
      </c>
      <c r="D52" s="1">
        <f>$D$4</f>
        <v>0.12</v>
      </c>
      <c r="E52" s="65">
        <f t="shared" si="36"/>
        <v>48601.002500000002</v>
      </c>
      <c r="G52" s="97">
        <v>233317</v>
      </c>
      <c r="H52" s="97">
        <v>47011</v>
      </c>
      <c r="J52" s="81">
        <v>289965</v>
      </c>
      <c r="K52" s="81">
        <v>79910.2</v>
      </c>
    </row>
    <row r="53" spans="1:11" ht="11.25" x14ac:dyDescent="0.2">
      <c r="A53" s="65">
        <f t="shared" ref="A53:C53" si="39">A5/12*MONTH($A$48)</f>
        <v>97202.003333333341</v>
      </c>
      <c r="B53" s="65">
        <f t="shared" si="39"/>
        <v>129602.67333333334</v>
      </c>
      <c r="C53" s="65">
        <f t="shared" si="39"/>
        <v>8424.1736333333338</v>
      </c>
      <c r="D53" s="1">
        <f>$D$5</f>
        <v>0.15</v>
      </c>
      <c r="E53" s="65">
        <f t="shared" si="36"/>
        <v>72901.502500000002</v>
      </c>
      <c r="G53" s="97">
        <v>233468</v>
      </c>
      <c r="H53" s="97">
        <v>46706</v>
      </c>
      <c r="J53" s="81">
        <v>290152</v>
      </c>
      <c r="K53" s="81">
        <v>79395.27</v>
      </c>
    </row>
    <row r="54" spans="1:11" ht="11.25" x14ac:dyDescent="0.2">
      <c r="A54" s="65">
        <f t="shared" ref="A54:C54" si="40">A6/12*MONTH($A$48)</f>
        <v>129602.67333333334</v>
      </c>
      <c r="B54" s="65">
        <f t="shared" si="40"/>
        <v>194404.00666666668</v>
      </c>
      <c r="C54" s="65">
        <f t="shared" si="40"/>
        <v>13284.274133333334</v>
      </c>
      <c r="D54" s="1">
        <f>$D$6</f>
        <v>0.19</v>
      </c>
      <c r="E54" s="65">
        <f t="shared" si="36"/>
        <v>97202.005000000005</v>
      </c>
      <c r="G54" s="97">
        <v>233619</v>
      </c>
      <c r="H54" s="97">
        <v>46400</v>
      </c>
      <c r="J54" s="81">
        <v>290340</v>
      </c>
      <c r="K54" s="81">
        <v>78882.06</v>
      </c>
    </row>
    <row r="55" spans="1:11" ht="11.25" x14ac:dyDescent="0.2">
      <c r="A55" s="65">
        <f t="shared" ref="A55:C55" si="41">A7/12*MONTH($A$48)</f>
        <v>194404.00666666668</v>
      </c>
      <c r="B55" s="65">
        <f t="shared" si="41"/>
        <v>259205.34</v>
      </c>
      <c r="C55" s="65">
        <f t="shared" si="41"/>
        <v>25596.52746666667</v>
      </c>
      <c r="D55" s="1">
        <f>$D$7</f>
        <v>0.23</v>
      </c>
      <c r="E55" s="65">
        <f t="shared" si="36"/>
        <v>145803.005</v>
      </c>
      <c r="G55" s="97">
        <v>233769</v>
      </c>
      <c r="H55" s="97">
        <v>46097</v>
      </c>
      <c r="J55" s="81">
        <v>290527</v>
      </c>
      <c r="K55" s="81">
        <v>78370.52</v>
      </c>
    </row>
    <row r="56" spans="1:11" ht="11.25" x14ac:dyDescent="0.2">
      <c r="A56" s="65">
        <f t="shared" ref="A56:C56" si="42">A8/12*MONTH($A$48)</f>
        <v>259205.34</v>
      </c>
      <c r="B56" s="65">
        <f t="shared" si="42"/>
        <v>388808.01</v>
      </c>
      <c r="C56" s="65">
        <f t="shared" si="42"/>
        <v>40500.834133333345</v>
      </c>
      <c r="D56" s="1">
        <f>$D$8</f>
        <v>0.27</v>
      </c>
      <c r="E56" s="65">
        <f t="shared" si="36"/>
        <v>194404.005</v>
      </c>
      <c r="G56" s="97">
        <v>233920</v>
      </c>
      <c r="H56" s="97">
        <v>45794</v>
      </c>
      <c r="J56" s="81">
        <v>290714</v>
      </c>
      <c r="K56" s="81">
        <v>77860.61</v>
      </c>
    </row>
    <row r="57" spans="1:11" ht="11.25" x14ac:dyDescent="0.2">
      <c r="A57" s="65">
        <f t="shared" ref="A57:C57" si="43">A9/12*MONTH($A$48)</f>
        <v>388808.01</v>
      </c>
      <c r="B57" s="65">
        <f t="shared" si="43"/>
        <v>518410.69</v>
      </c>
      <c r="C57" s="65">
        <f t="shared" si="43"/>
        <v>75493.555033333352</v>
      </c>
      <c r="D57" s="1">
        <f>$D$9</f>
        <v>0.31</v>
      </c>
      <c r="E57" s="65">
        <f t="shared" si="36"/>
        <v>291606.00750000001</v>
      </c>
      <c r="G57" s="97">
        <v>234071</v>
      </c>
      <c r="H57" s="97">
        <v>45493</v>
      </c>
      <c r="J57" s="81">
        <v>290901</v>
      </c>
      <c r="K57" s="81">
        <v>77352.31</v>
      </c>
    </row>
    <row r="58" spans="1:11" ht="11.25" x14ac:dyDescent="0.2">
      <c r="A58" s="65">
        <f t="shared" ref="A58:C58" si="44">A10/12*MONTH($A$48)</f>
        <v>518410.69</v>
      </c>
      <c r="B58" s="65">
        <f t="shared" si="44"/>
        <v>3333333333</v>
      </c>
      <c r="C58" s="65">
        <f t="shared" si="44"/>
        <v>115670.38583333336</v>
      </c>
      <c r="D58" s="1">
        <f>$D$10</f>
        <v>0.35</v>
      </c>
      <c r="E58" s="65">
        <f t="shared" si="36"/>
        <v>388808.01750000002</v>
      </c>
      <c r="G58" s="97">
        <v>234221</v>
      </c>
      <c r="H58" s="97">
        <v>45192</v>
      </c>
      <c r="J58" s="81">
        <v>291088</v>
      </c>
      <c r="K58" s="81">
        <v>76845.58</v>
      </c>
    </row>
    <row r="59" spans="1:11" ht="11.25" x14ac:dyDescent="0.2">
      <c r="G59" s="97">
        <v>234372</v>
      </c>
      <c r="H59" s="97">
        <v>44892</v>
      </c>
      <c r="J59" s="81">
        <v>291275</v>
      </c>
      <c r="K59" s="81">
        <v>76340.38</v>
      </c>
    </row>
    <row r="60" spans="1:11" ht="11.25" x14ac:dyDescent="0.2">
      <c r="A60" s="74">
        <v>44317</v>
      </c>
      <c r="G60" s="97">
        <v>234522</v>
      </c>
      <c r="H60" s="97">
        <v>44592</v>
      </c>
      <c r="J60" s="81">
        <v>291463</v>
      </c>
      <c r="K60" s="81">
        <v>75836.69</v>
      </c>
    </row>
    <row r="61" spans="1:11" ht="11.25" x14ac:dyDescent="0.2">
      <c r="A61" s="65">
        <f t="shared" ref="A61:C70" si="45">A1/12*MONTH($A$60)</f>
        <v>-41666666.25</v>
      </c>
      <c r="B61" s="65">
        <f t="shared" si="45"/>
        <v>0</v>
      </c>
      <c r="C61" s="65">
        <f t="shared" si="45"/>
        <v>0</v>
      </c>
      <c r="D61" s="1">
        <f>$D$1</f>
        <v>0</v>
      </c>
      <c r="E61" s="65">
        <v>0</v>
      </c>
      <c r="G61" s="97">
        <v>234673</v>
      </c>
      <c r="H61" s="97">
        <v>44294</v>
      </c>
      <c r="J61" s="81">
        <v>291650</v>
      </c>
      <c r="K61" s="81">
        <v>75334.48</v>
      </c>
    </row>
    <row r="62" spans="1:11" ht="11.25" x14ac:dyDescent="0.2">
      <c r="A62" s="65">
        <f t="shared" si="45"/>
        <v>0</v>
      </c>
      <c r="B62" s="65">
        <f t="shared" si="45"/>
        <v>40500.833333333336</v>
      </c>
      <c r="C62" s="65">
        <f t="shared" si="45"/>
        <v>0</v>
      </c>
      <c r="D62" s="1">
        <f>$D$2</f>
        <v>0.05</v>
      </c>
      <c r="E62" s="65">
        <v>0</v>
      </c>
      <c r="G62" s="97">
        <v>234824</v>
      </c>
      <c r="H62" s="97">
        <v>43997</v>
      </c>
      <c r="J62" s="81">
        <v>291837</v>
      </c>
      <c r="K62" s="81">
        <v>74833.7</v>
      </c>
    </row>
    <row r="63" spans="1:11" ht="11.25" x14ac:dyDescent="0.2">
      <c r="A63" s="65">
        <f t="shared" si="45"/>
        <v>40500.833333333336</v>
      </c>
      <c r="B63" s="65">
        <f t="shared" si="45"/>
        <v>81001.670833333337</v>
      </c>
      <c r="C63" s="65">
        <f t="shared" si="45"/>
        <v>2025.041666666667</v>
      </c>
      <c r="D63" s="1">
        <f>$D$3</f>
        <v>0.09</v>
      </c>
      <c r="E63" s="65">
        <f>A63</f>
        <v>40500.833333333336</v>
      </c>
      <c r="G63" s="97">
        <v>234974</v>
      </c>
      <c r="H63" s="97">
        <v>43701</v>
      </c>
      <c r="J63" s="81">
        <v>292024</v>
      </c>
      <c r="K63" s="81">
        <v>74334.350000000006</v>
      </c>
    </row>
    <row r="64" spans="1:11" ht="11.25" x14ac:dyDescent="0.2">
      <c r="A64" s="65">
        <f t="shared" si="45"/>
        <v>81001.670833333337</v>
      </c>
      <c r="B64" s="65">
        <f t="shared" si="45"/>
        <v>121502.50416666668</v>
      </c>
      <c r="C64" s="65">
        <f t="shared" si="45"/>
        <v>5670.1170416666673</v>
      </c>
      <c r="D64" s="1">
        <f>$D$4</f>
        <v>0.12</v>
      </c>
      <c r="E64" s="65">
        <f t="shared" ref="E64:E70" si="46">A64</f>
        <v>81001.670833333337</v>
      </c>
      <c r="G64" s="97">
        <v>235125</v>
      </c>
      <c r="H64" s="97">
        <v>43405</v>
      </c>
      <c r="J64" s="81">
        <v>292211</v>
      </c>
      <c r="K64" s="81">
        <v>73836.38</v>
      </c>
    </row>
    <row r="65" spans="1:11" ht="11.25" x14ac:dyDescent="0.2">
      <c r="A65" s="65">
        <f t="shared" si="45"/>
        <v>121502.50416666668</v>
      </c>
      <c r="B65" s="65">
        <f t="shared" si="45"/>
        <v>162003.34166666667</v>
      </c>
      <c r="C65" s="65">
        <f t="shared" si="45"/>
        <v>10530.217041666667</v>
      </c>
      <c r="D65" s="1">
        <f>$D$5</f>
        <v>0.15</v>
      </c>
      <c r="E65" s="65">
        <f t="shared" si="46"/>
        <v>121502.50416666668</v>
      </c>
      <c r="G65" s="97">
        <v>235276</v>
      </c>
      <c r="H65" s="97">
        <v>43110</v>
      </c>
      <c r="J65" s="81">
        <v>292399</v>
      </c>
      <c r="K65" s="81">
        <v>73339.78</v>
      </c>
    </row>
    <row r="66" spans="1:11" ht="11.25" x14ac:dyDescent="0.2">
      <c r="A66" s="65">
        <f t="shared" si="45"/>
        <v>162003.34166666667</v>
      </c>
      <c r="B66" s="65">
        <f t="shared" si="45"/>
        <v>243005.00833333336</v>
      </c>
      <c r="C66" s="65">
        <f t="shared" si="45"/>
        <v>16605.342666666667</v>
      </c>
      <c r="D66" s="1">
        <f>$D$6</f>
        <v>0.19</v>
      </c>
      <c r="E66" s="65">
        <f t="shared" si="46"/>
        <v>162003.34166666667</v>
      </c>
      <c r="G66" s="97">
        <v>235426</v>
      </c>
      <c r="H66" s="97">
        <v>42817</v>
      </c>
      <c r="J66" s="81">
        <v>292586</v>
      </c>
      <c r="K66" s="81">
        <v>72844.52</v>
      </c>
    </row>
    <row r="67" spans="1:11" ht="11.25" x14ac:dyDescent="0.2">
      <c r="A67" s="65">
        <f t="shared" si="45"/>
        <v>243005.00833333336</v>
      </c>
      <c r="B67" s="65">
        <f t="shared" si="45"/>
        <v>324006.67499999999</v>
      </c>
      <c r="C67" s="65">
        <f t="shared" si="45"/>
        <v>31995.659333333337</v>
      </c>
      <c r="D67" s="1">
        <f>$D$7</f>
        <v>0.23</v>
      </c>
      <c r="E67" s="65">
        <f t="shared" si="46"/>
        <v>243005.00833333336</v>
      </c>
      <c r="G67" s="97">
        <v>235577</v>
      </c>
      <c r="H67" s="97">
        <v>42523</v>
      </c>
      <c r="J67" s="81">
        <v>292773</v>
      </c>
      <c r="K67" s="81">
        <v>72350.570000000007</v>
      </c>
    </row>
    <row r="68" spans="1:11" ht="11.25" x14ac:dyDescent="0.2">
      <c r="A68" s="65">
        <f t="shared" si="45"/>
        <v>324006.67499999999</v>
      </c>
      <c r="B68" s="65">
        <f t="shared" si="45"/>
        <v>486010.01250000001</v>
      </c>
      <c r="C68" s="65">
        <f t="shared" si="45"/>
        <v>50626.042666666683</v>
      </c>
      <c r="D68" s="1">
        <f>$D$8</f>
        <v>0.27</v>
      </c>
      <c r="E68" s="65">
        <f t="shared" si="46"/>
        <v>324006.67499999999</v>
      </c>
      <c r="G68" s="97">
        <v>235727</v>
      </c>
      <c r="H68" s="97">
        <v>42231</v>
      </c>
      <c r="J68" s="81">
        <v>292960</v>
      </c>
      <c r="K68" s="81">
        <v>71857.91</v>
      </c>
    </row>
    <row r="69" spans="1:11" ht="11.25" x14ac:dyDescent="0.2">
      <c r="A69" s="65">
        <f t="shared" si="45"/>
        <v>486010.01250000001</v>
      </c>
      <c r="B69" s="65">
        <f t="shared" si="45"/>
        <v>648013.36250000005</v>
      </c>
      <c r="C69" s="65">
        <f t="shared" si="45"/>
        <v>94366.943791666694</v>
      </c>
      <c r="D69" s="1">
        <f>$D$9</f>
        <v>0.31</v>
      </c>
      <c r="E69" s="65">
        <f t="shared" si="46"/>
        <v>486010.01250000001</v>
      </c>
      <c r="G69" s="97">
        <v>235878</v>
      </c>
      <c r="H69" s="97">
        <v>41940</v>
      </c>
      <c r="J69" s="81">
        <v>293147</v>
      </c>
      <c r="K69" s="81">
        <v>71366.509999999995</v>
      </c>
    </row>
    <row r="70" spans="1:11" ht="11.25" x14ac:dyDescent="0.2">
      <c r="A70" s="65">
        <f t="shared" si="45"/>
        <v>648013.36250000005</v>
      </c>
      <c r="B70" s="65">
        <f t="shared" si="45"/>
        <v>4166666666.25</v>
      </c>
      <c r="C70" s="65">
        <f t="shared" si="45"/>
        <v>144587.9822916667</v>
      </c>
      <c r="D70" s="1">
        <f>$D$10</f>
        <v>0.35</v>
      </c>
      <c r="E70" s="65">
        <f t="shared" si="46"/>
        <v>648013.36250000005</v>
      </c>
      <c r="G70" s="97">
        <v>236029</v>
      </c>
      <c r="H70" s="97">
        <v>41649</v>
      </c>
      <c r="J70" s="81">
        <v>293335</v>
      </c>
      <c r="K70" s="81">
        <v>70876.37</v>
      </c>
    </row>
    <row r="71" spans="1:11" ht="11.25" x14ac:dyDescent="0.2">
      <c r="G71" s="97">
        <v>236179</v>
      </c>
      <c r="H71" s="97">
        <v>41358</v>
      </c>
      <c r="J71" s="81">
        <v>293522</v>
      </c>
      <c r="K71" s="81">
        <v>70387.44</v>
      </c>
    </row>
    <row r="72" spans="1:11" ht="11.25" x14ac:dyDescent="0.2">
      <c r="A72" s="74">
        <v>44348</v>
      </c>
      <c r="G72" s="97">
        <v>236330</v>
      </c>
      <c r="H72" s="97">
        <v>41069</v>
      </c>
      <c r="J72" s="81">
        <v>293709</v>
      </c>
      <c r="K72" s="81">
        <v>69899.72</v>
      </c>
    </row>
    <row r="73" spans="1:11" ht="11.25" x14ac:dyDescent="0.2">
      <c r="A73" s="65">
        <f>A1/12*MONTH($A$72)</f>
        <v>-49999999.5</v>
      </c>
      <c r="B73" s="65">
        <f>B1/12*MONTH($A$72)</f>
        <v>0</v>
      </c>
      <c r="C73" s="65">
        <f>C1/12*MONTH($A$72)</f>
        <v>0</v>
      </c>
      <c r="D73" s="1">
        <f>$D$1</f>
        <v>0</v>
      </c>
      <c r="E73" s="65">
        <v>0</v>
      </c>
      <c r="G73" s="97">
        <v>236481</v>
      </c>
      <c r="H73" s="97">
        <v>40780</v>
      </c>
      <c r="J73" s="81">
        <v>293896</v>
      </c>
      <c r="K73" s="81">
        <v>69413.19</v>
      </c>
    </row>
    <row r="74" spans="1:11" ht="11.25" x14ac:dyDescent="0.2">
      <c r="A74" s="65">
        <f t="shared" ref="A74:C74" si="47">A2/12*MONTH($A$72)</f>
        <v>0</v>
      </c>
      <c r="B74" s="65">
        <f t="shared" si="47"/>
        <v>48601</v>
      </c>
      <c r="C74" s="65">
        <f t="shared" si="47"/>
        <v>0</v>
      </c>
      <c r="D74" s="1">
        <f>$D$2</f>
        <v>0.05</v>
      </c>
      <c r="E74" s="65">
        <v>0</v>
      </c>
      <c r="G74" s="97">
        <v>236631</v>
      </c>
      <c r="H74" s="97">
        <v>40492</v>
      </c>
      <c r="J74" s="81">
        <v>294083</v>
      </c>
      <c r="K74" s="81">
        <v>68927.81</v>
      </c>
    </row>
    <row r="75" spans="1:11" ht="11.25" x14ac:dyDescent="0.2">
      <c r="A75" s="65">
        <f t="shared" ref="A75:C75" si="48">A3/12*MONTH($A$72)</f>
        <v>48601</v>
      </c>
      <c r="B75" s="65">
        <f t="shared" si="48"/>
        <v>97202.005000000005</v>
      </c>
      <c r="C75" s="65">
        <f t="shared" si="48"/>
        <v>2430.0500000000002</v>
      </c>
      <c r="D75" s="1">
        <f>$D$3</f>
        <v>0.09</v>
      </c>
      <c r="E75" s="65">
        <f>A75</f>
        <v>48601</v>
      </c>
      <c r="G75" s="97">
        <v>236782</v>
      </c>
      <c r="H75" s="97">
        <v>40205</v>
      </c>
      <c r="J75" s="81">
        <v>294271</v>
      </c>
      <c r="K75" s="81">
        <v>68443.58</v>
      </c>
    </row>
    <row r="76" spans="1:11" ht="11.25" x14ac:dyDescent="0.2">
      <c r="A76" s="65">
        <f t="shared" ref="A76:C76" si="49">A4/12*MONTH($A$72)</f>
        <v>97202.005000000005</v>
      </c>
      <c r="B76" s="65">
        <f t="shared" si="49"/>
        <v>145803.005</v>
      </c>
      <c r="C76" s="65">
        <f t="shared" si="49"/>
        <v>6804.1404500000008</v>
      </c>
      <c r="D76" s="1">
        <f>$D$4</f>
        <v>0.12</v>
      </c>
      <c r="E76" s="65">
        <f t="shared" ref="E76:E82" si="50">A76</f>
        <v>97202.005000000005</v>
      </c>
      <c r="G76" s="97">
        <v>236932</v>
      </c>
      <c r="H76" s="97">
        <v>39917</v>
      </c>
      <c r="J76" s="81">
        <v>294458</v>
      </c>
      <c r="K76" s="81">
        <v>67960.479999999996</v>
      </c>
    </row>
    <row r="77" spans="1:11" ht="11.25" x14ac:dyDescent="0.2">
      <c r="A77" s="65">
        <f t="shared" ref="A77:C77" si="51">A5/12*MONTH($A$72)</f>
        <v>145803.005</v>
      </c>
      <c r="B77" s="65">
        <f t="shared" si="51"/>
        <v>194404.01</v>
      </c>
      <c r="C77" s="65">
        <f t="shared" si="51"/>
        <v>12636.260450000002</v>
      </c>
      <c r="D77" s="1">
        <f>$D$5</f>
        <v>0.15</v>
      </c>
      <c r="E77" s="65">
        <f t="shared" si="50"/>
        <v>145803.005</v>
      </c>
      <c r="G77" s="97">
        <v>237083</v>
      </c>
      <c r="H77" s="97">
        <v>39631</v>
      </c>
      <c r="J77" s="81">
        <v>294645</v>
      </c>
      <c r="K77" s="81">
        <v>67478.490000000005</v>
      </c>
    </row>
    <row r="78" spans="1:11" ht="11.25" x14ac:dyDescent="0.2">
      <c r="A78" s="65">
        <f t="shared" ref="A78:C78" si="52">A6/12*MONTH($A$72)</f>
        <v>194404.01</v>
      </c>
      <c r="B78" s="65">
        <f t="shared" si="52"/>
        <v>291606.01</v>
      </c>
      <c r="C78" s="65">
        <f t="shared" si="52"/>
        <v>19926.411200000002</v>
      </c>
      <c r="D78" s="1">
        <f>$D$6</f>
        <v>0.19</v>
      </c>
      <c r="E78" s="65">
        <f t="shared" si="50"/>
        <v>194404.01</v>
      </c>
      <c r="G78" s="97">
        <v>237234</v>
      </c>
      <c r="H78" s="97">
        <v>39346</v>
      </c>
      <c r="J78" s="81">
        <v>294832</v>
      </c>
      <c r="K78" s="81">
        <v>66997.58</v>
      </c>
    </row>
    <row r="79" spans="1:11" ht="11.25" x14ac:dyDescent="0.2">
      <c r="A79" s="65">
        <f t="shared" ref="A79:C79" si="53">A7/12*MONTH($A$72)</f>
        <v>291606.01</v>
      </c>
      <c r="B79" s="65">
        <f t="shared" si="53"/>
        <v>388808.01</v>
      </c>
      <c r="C79" s="65">
        <f t="shared" si="53"/>
        <v>38394.791200000007</v>
      </c>
      <c r="D79" s="1">
        <f>$D$7</f>
        <v>0.23</v>
      </c>
      <c r="E79" s="65">
        <f t="shared" si="50"/>
        <v>291606.01</v>
      </c>
      <c r="G79" s="97">
        <v>237384</v>
      </c>
      <c r="H79" s="97">
        <v>39061</v>
      </c>
      <c r="J79" s="81">
        <v>295019</v>
      </c>
      <c r="K79" s="81">
        <v>66517.75</v>
      </c>
    </row>
    <row r="80" spans="1:11" ht="11.25" x14ac:dyDescent="0.2">
      <c r="A80" s="65">
        <f t="shared" ref="A80:C80" si="54">A8/12*MONTH($A$72)</f>
        <v>388808.01</v>
      </c>
      <c r="B80" s="65">
        <f t="shared" si="54"/>
        <v>583212.01500000001</v>
      </c>
      <c r="C80" s="65">
        <f t="shared" si="54"/>
        <v>60751.251200000013</v>
      </c>
      <c r="D80" s="1">
        <f>$D$8</f>
        <v>0.27</v>
      </c>
      <c r="E80" s="65">
        <f t="shared" si="50"/>
        <v>388808.01</v>
      </c>
      <c r="G80" s="97">
        <v>237535</v>
      </c>
      <c r="H80" s="97">
        <v>38777</v>
      </c>
      <c r="J80" s="81">
        <v>295207</v>
      </c>
      <c r="K80" s="81">
        <v>66038.98</v>
      </c>
    </row>
    <row r="81" spans="1:11" ht="11.25" x14ac:dyDescent="0.2">
      <c r="A81" s="65">
        <f t="shared" ref="A81:C81" si="55">A9/12*MONTH($A$72)</f>
        <v>583212.01500000001</v>
      </c>
      <c r="B81" s="65">
        <f t="shared" si="55"/>
        <v>777616.03500000003</v>
      </c>
      <c r="C81" s="65">
        <f t="shared" si="55"/>
        <v>113240.33255000002</v>
      </c>
      <c r="D81" s="1">
        <f>$D$9</f>
        <v>0.31</v>
      </c>
      <c r="E81" s="65">
        <f t="shared" si="50"/>
        <v>583212.01500000001</v>
      </c>
      <c r="G81" s="97">
        <v>237686</v>
      </c>
      <c r="H81" s="97">
        <v>38494</v>
      </c>
      <c r="J81" s="81">
        <v>295394</v>
      </c>
      <c r="K81" s="81">
        <v>65561.259999999995</v>
      </c>
    </row>
    <row r="82" spans="1:11" ht="11.25" x14ac:dyDescent="0.2">
      <c r="A82" s="65">
        <f t="shared" ref="A82:C82" si="56">A10/12*MONTH($A$72)</f>
        <v>777616.03500000003</v>
      </c>
      <c r="B82" s="65">
        <f t="shared" si="56"/>
        <v>4999999999.5</v>
      </c>
      <c r="C82" s="65">
        <f t="shared" si="56"/>
        <v>173505.57875000004</v>
      </c>
      <c r="D82" s="1">
        <f>$D$10</f>
        <v>0.35</v>
      </c>
      <c r="E82" s="65">
        <f t="shared" si="50"/>
        <v>777616.03500000003</v>
      </c>
      <c r="G82" s="97">
        <v>237836</v>
      </c>
      <c r="H82" s="97">
        <v>38210</v>
      </c>
      <c r="J82" s="81">
        <v>295581</v>
      </c>
      <c r="K82" s="81">
        <v>65084.56</v>
      </c>
    </row>
    <row r="83" spans="1:11" ht="11.25" x14ac:dyDescent="0.2">
      <c r="G83" s="97">
        <v>237987</v>
      </c>
      <c r="H83" s="97">
        <v>37929</v>
      </c>
      <c r="J83" s="81">
        <v>295768</v>
      </c>
      <c r="K83" s="81">
        <v>64608.87</v>
      </c>
    </row>
    <row r="84" spans="1:11" ht="11.25" x14ac:dyDescent="0.2">
      <c r="A84" s="74">
        <v>44378</v>
      </c>
      <c r="G84" s="97">
        <v>238137</v>
      </c>
      <c r="H84" s="97">
        <v>37647</v>
      </c>
      <c r="J84" s="81">
        <v>295955</v>
      </c>
      <c r="K84" s="81">
        <v>64134.17</v>
      </c>
    </row>
    <row r="85" spans="1:11" ht="11.25" x14ac:dyDescent="0.2">
      <c r="A85" s="65">
        <f>A1/12*MONTH($A$84)</f>
        <v>-58333332.75</v>
      </c>
      <c r="B85" s="65">
        <f>B1/12*MONTH($A$84)</f>
        <v>0</v>
      </c>
      <c r="C85" s="65">
        <f>C1/12*MONTH($A$84)</f>
        <v>0</v>
      </c>
      <c r="D85" s="1">
        <f>$D$1</f>
        <v>0</v>
      </c>
      <c r="E85" s="65">
        <v>0</v>
      </c>
      <c r="G85" s="97">
        <v>238288</v>
      </c>
      <c r="H85" s="97">
        <v>37365</v>
      </c>
      <c r="J85" s="81">
        <v>296143</v>
      </c>
      <c r="K85" s="81">
        <v>63660.47</v>
      </c>
    </row>
    <row r="86" spans="1:11" ht="11.25" x14ac:dyDescent="0.2">
      <c r="A86" s="65">
        <f t="shared" ref="A86:C86" si="57">A2/12*MONTH($A$84)</f>
        <v>0</v>
      </c>
      <c r="B86" s="65">
        <f t="shared" si="57"/>
        <v>56701.166666666672</v>
      </c>
      <c r="C86" s="65">
        <f t="shared" si="57"/>
        <v>0</v>
      </c>
      <c r="D86" s="1">
        <f>$D$2</f>
        <v>0.05</v>
      </c>
      <c r="E86" s="65">
        <v>0</v>
      </c>
      <c r="G86" s="97">
        <v>238439</v>
      </c>
      <c r="H86" s="97">
        <v>37085</v>
      </c>
      <c r="J86" s="81">
        <v>296330</v>
      </c>
      <c r="K86" s="81">
        <v>63187.73</v>
      </c>
    </row>
    <row r="87" spans="1:11" ht="11.25" x14ac:dyDescent="0.2">
      <c r="A87" s="65">
        <f t="shared" ref="A87:C87" si="58">A3/12*MONTH($A$84)</f>
        <v>56701.166666666672</v>
      </c>
      <c r="B87" s="65">
        <f t="shared" si="58"/>
        <v>113402.33916666667</v>
      </c>
      <c r="C87" s="65">
        <f t="shared" si="58"/>
        <v>2835.0583333333338</v>
      </c>
      <c r="D87" s="1">
        <f>$D$3</f>
        <v>0.09</v>
      </c>
      <c r="E87" s="65">
        <f>A87</f>
        <v>56701.166666666672</v>
      </c>
      <c r="G87" s="97">
        <v>238589</v>
      </c>
      <c r="H87" s="97">
        <v>36805</v>
      </c>
      <c r="J87" s="81">
        <v>296517</v>
      </c>
      <c r="K87" s="81">
        <v>62715.94</v>
      </c>
    </row>
    <row r="88" spans="1:11" ht="11.25" x14ac:dyDescent="0.2">
      <c r="A88" s="65">
        <f t="shared" ref="A88:C88" si="59">A4/12*MONTH($A$84)</f>
        <v>113402.33916666667</v>
      </c>
      <c r="B88" s="65">
        <f t="shared" si="59"/>
        <v>170103.50583333336</v>
      </c>
      <c r="C88" s="65">
        <f t="shared" si="59"/>
        <v>7938.1638583333342</v>
      </c>
      <c r="D88" s="1">
        <f>$D$4</f>
        <v>0.12</v>
      </c>
      <c r="E88" s="65">
        <f t="shared" ref="E88:E94" si="60">A88</f>
        <v>113402.33916666667</v>
      </c>
      <c r="G88" s="97">
        <v>238740</v>
      </c>
      <c r="H88" s="97">
        <v>36525</v>
      </c>
      <c r="J88" s="81">
        <v>296704</v>
      </c>
      <c r="K88" s="81">
        <v>62245.1</v>
      </c>
    </row>
    <row r="89" spans="1:11" ht="11.25" x14ac:dyDescent="0.2">
      <c r="A89" s="65">
        <f t="shared" ref="A89:C89" si="61">A5/12*MONTH($A$84)</f>
        <v>170103.50583333336</v>
      </c>
      <c r="B89" s="65">
        <f t="shared" si="61"/>
        <v>226804.67833333334</v>
      </c>
      <c r="C89" s="65">
        <f t="shared" si="61"/>
        <v>14742.303858333335</v>
      </c>
      <c r="D89" s="1">
        <f>$D$5</f>
        <v>0.15</v>
      </c>
      <c r="E89" s="65">
        <f t="shared" si="60"/>
        <v>170103.50583333336</v>
      </c>
      <c r="G89" s="97">
        <v>238891</v>
      </c>
      <c r="H89" s="97">
        <v>36246</v>
      </c>
      <c r="J89" s="81">
        <v>296891</v>
      </c>
      <c r="K89" s="81">
        <v>61775.19</v>
      </c>
    </row>
    <row r="90" spans="1:11" ht="11.25" x14ac:dyDescent="0.2">
      <c r="A90" s="65">
        <f t="shared" ref="A90:C90" si="62">A6/12*MONTH($A$84)</f>
        <v>226804.67833333334</v>
      </c>
      <c r="B90" s="65">
        <f t="shared" si="62"/>
        <v>340207.01166666672</v>
      </c>
      <c r="C90" s="65">
        <f t="shared" si="62"/>
        <v>23247.479733333334</v>
      </c>
      <c r="D90" s="1">
        <f>$D$6</f>
        <v>0.19</v>
      </c>
      <c r="E90" s="65">
        <f t="shared" si="60"/>
        <v>226804.67833333334</v>
      </c>
      <c r="G90" s="97">
        <v>239041</v>
      </c>
      <c r="H90" s="97">
        <v>35968</v>
      </c>
      <c r="J90" s="81">
        <v>297079</v>
      </c>
      <c r="K90" s="81">
        <v>61306.2</v>
      </c>
    </row>
    <row r="91" spans="1:11" ht="11.25" x14ac:dyDescent="0.2">
      <c r="A91" s="65">
        <f t="shared" ref="A91:C91" si="63">A7/12*MONTH($A$84)</f>
        <v>340207.01166666672</v>
      </c>
      <c r="B91" s="65">
        <f t="shared" si="63"/>
        <v>453609.34499999997</v>
      </c>
      <c r="C91" s="65">
        <f t="shared" si="63"/>
        <v>44793.92306666667</v>
      </c>
      <c r="D91" s="1">
        <f>$D$7</f>
        <v>0.23</v>
      </c>
      <c r="E91" s="65">
        <f t="shared" si="60"/>
        <v>340207.01166666672</v>
      </c>
      <c r="G91" s="97">
        <v>239192</v>
      </c>
      <c r="H91" s="97">
        <v>35690</v>
      </c>
      <c r="J91" s="81">
        <v>297266</v>
      </c>
      <c r="K91" s="81">
        <v>60838.11</v>
      </c>
    </row>
    <row r="92" spans="1:11" ht="11.25" x14ac:dyDescent="0.2">
      <c r="A92" s="65">
        <f t="shared" ref="A92:C92" si="64">A8/12*MONTH($A$84)</f>
        <v>453609.34499999997</v>
      </c>
      <c r="B92" s="65">
        <f t="shared" si="64"/>
        <v>680414.01750000007</v>
      </c>
      <c r="C92" s="65">
        <f t="shared" si="64"/>
        <v>70876.459733333351</v>
      </c>
      <c r="D92" s="1">
        <f>$D$8</f>
        <v>0.27</v>
      </c>
      <c r="E92" s="65">
        <f t="shared" si="60"/>
        <v>453609.34499999997</v>
      </c>
      <c r="G92" s="97">
        <v>239342</v>
      </c>
      <c r="H92" s="97">
        <v>35413</v>
      </c>
      <c r="J92" s="81">
        <v>297453</v>
      </c>
      <c r="K92" s="81">
        <v>60370.91</v>
      </c>
    </row>
    <row r="93" spans="1:11" ht="11.25" x14ac:dyDescent="0.2">
      <c r="A93" s="65">
        <f t="shared" ref="A93:C93" si="65">A9/12*MONTH($A$84)</f>
        <v>680414.01750000007</v>
      </c>
      <c r="B93" s="65">
        <f t="shared" si="65"/>
        <v>907218.70750000002</v>
      </c>
      <c r="C93" s="65">
        <f t="shared" si="65"/>
        <v>132113.72130833336</v>
      </c>
      <c r="D93" s="1">
        <f>$D$9</f>
        <v>0.31</v>
      </c>
      <c r="E93" s="65">
        <f t="shared" si="60"/>
        <v>680414.01750000007</v>
      </c>
      <c r="G93" s="97">
        <v>239493</v>
      </c>
      <c r="H93" s="97">
        <v>35136</v>
      </c>
      <c r="J93" s="81">
        <v>297640</v>
      </c>
      <c r="K93" s="81">
        <v>59904.6</v>
      </c>
    </row>
    <row r="94" spans="1:11" ht="11.25" x14ac:dyDescent="0.2">
      <c r="A94" s="65">
        <f t="shared" ref="A94:C94" si="66">A10/12*MONTH($A$84)</f>
        <v>907218.70750000002</v>
      </c>
      <c r="B94" s="65">
        <f t="shared" si="66"/>
        <v>5833333332.75</v>
      </c>
      <c r="C94" s="65">
        <f t="shared" si="66"/>
        <v>202423.17520833338</v>
      </c>
      <c r="D94" s="1">
        <f>$D$10</f>
        <v>0.35</v>
      </c>
      <c r="E94" s="65">
        <f t="shared" si="60"/>
        <v>907218.70750000002</v>
      </c>
      <c r="G94" s="97">
        <v>239644</v>
      </c>
      <c r="H94" s="97">
        <v>34859</v>
      </c>
      <c r="J94" s="81">
        <v>297827</v>
      </c>
      <c r="K94" s="81">
        <v>59439.15</v>
      </c>
    </row>
    <row r="95" spans="1:11" ht="11.25" x14ac:dyDescent="0.2">
      <c r="G95" s="97">
        <v>239794</v>
      </c>
      <c r="H95" s="97">
        <v>34583</v>
      </c>
      <c r="J95" s="81">
        <v>298015</v>
      </c>
      <c r="K95" s="81">
        <v>58974.57</v>
      </c>
    </row>
    <row r="96" spans="1:11" ht="11.25" x14ac:dyDescent="0.2">
      <c r="A96" s="74">
        <v>44409</v>
      </c>
      <c r="G96" s="97">
        <v>239945</v>
      </c>
      <c r="H96" s="97">
        <v>34309</v>
      </c>
      <c r="J96" s="81">
        <v>298202</v>
      </c>
      <c r="K96" s="81">
        <v>58510.83</v>
      </c>
    </row>
    <row r="97" spans="1:11" ht="11.25" x14ac:dyDescent="0.2">
      <c r="A97" s="65">
        <f>A1/12*MONTH($A$96)</f>
        <v>-66666666</v>
      </c>
      <c r="B97" s="65">
        <f>B1/12*MONTH($A$96)</f>
        <v>0</v>
      </c>
      <c r="C97" s="65">
        <f>C1/12*MONTH($A$96)</f>
        <v>0</v>
      </c>
      <c r="D97" s="1">
        <f>$D$1</f>
        <v>0</v>
      </c>
      <c r="E97" s="65">
        <v>0</v>
      </c>
      <c r="G97" s="97">
        <v>240096</v>
      </c>
      <c r="H97" s="97">
        <v>34034</v>
      </c>
      <c r="J97" s="81">
        <v>298389</v>
      </c>
      <c r="K97" s="81">
        <v>58047.93</v>
      </c>
    </row>
    <row r="98" spans="1:11" ht="11.25" x14ac:dyDescent="0.2">
      <c r="A98" s="65">
        <f t="shared" ref="A98:C98" si="67">A2/12*MONTH($A$96)</f>
        <v>0</v>
      </c>
      <c r="B98" s="65">
        <f t="shared" si="67"/>
        <v>64801.333333333336</v>
      </c>
      <c r="C98" s="65">
        <f t="shared" si="67"/>
        <v>0</v>
      </c>
      <c r="D98" s="1">
        <f>$D$2</f>
        <v>0.05</v>
      </c>
      <c r="E98" s="65">
        <v>0</v>
      </c>
      <c r="G98" s="97">
        <v>240246</v>
      </c>
      <c r="H98" s="97">
        <v>33759</v>
      </c>
      <c r="J98" s="81">
        <v>298576</v>
      </c>
      <c r="K98" s="81">
        <v>57585.86</v>
      </c>
    </row>
    <row r="99" spans="1:11" ht="11.25" x14ac:dyDescent="0.2">
      <c r="A99" s="65">
        <f t="shared" ref="A99:C99" si="68">A3/12*MONTH($A$96)</f>
        <v>64801.333333333336</v>
      </c>
      <c r="B99" s="65">
        <f t="shared" si="68"/>
        <v>129602.67333333334</v>
      </c>
      <c r="C99" s="65">
        <f t="shared" si="68"/>
        <v>3240.0666666666671</v>
      </c>
      <c r="D99" s="1">
        <f>$D$3</f>
        <v>0.09</v>
      </c>
      <c r="E99" s="65">
        <f>A99</f>
        <v>64801.333333333336</v>
      </c>
      <c r="G99" s="97">
        <v>240397</v>
      </c>
      <c r="H99" s="97">
        <v>33485</v>
      </c>
      <c r="J99" s="81">
        <v>298763</v>
      </c>
      <c r="K99" s="81">
        <v>57124.61</v>
      </c>
    </row>
    <row r="100" spans="1:11" ht="11.25" x14ac:dyDescent="0.2">
      <c r="A100" s="65">
        <f t="shared" ref="A100:C100" si="69">A4/12*MONTH($A$96)</f>
        <v>129602.67333333334</v>
      </c>
      <c r="B100" s="65">
        <f t="shared" si="69"/>
        <v>194404.00666666668</v>
      </c>
      <c r="C100" s="65">
        <f t="shared" si="69"/>
        <v>9072.1872666666677</v>
      </c>
      <c r="D100" s="1">
        <f>$D$4</f>
        <v>0.12</v>
      </c>
      <c r="E100" s="65">
        <f t="shared" ref="E100:E106" si="70">A100</f>
        <v>129602.67333333334</v>
      </c>
      <c r="G100" s="97">
        <v>240547</v>
      </c>
      <c r="H100" s="97">
        <v>33213</v>
      </c>
      <c r="J100" s="81">
        <v>298950</v>
      </c>
      <c r="K100" s="81">
        <v>56664.17</v>
      </c>
    </row>
    <row r="101" spans="1:11" ht="11.25" x14ac:dyDescent="0.2">
      <c r="A101" s="65">
        <f t="shared" ref="A101:C101" si="71">A5/12*MONTH($A$96)</f>
        <v>194404.00666666668</v>
      </c>
      <c r="B101" s="65">
        <f t="shared" si="71"/>
        <v>259205.34666666668</v>
      </c>
      <c r="C101" s="65">
        <f t="shared" si="71"/>
        <v>16848.347266666668</v>
      </c>
      <c r="D101" s="1">
        <f>$D$5</f>
        <v>0.15</v>
      </c>
      <c r="E101" s="65">
        <f t="shared" si="70"/>
        <v>194404.00666666668</v>
      </c>
      <c r="G101" s="97">
        <v>240698</v>
      </c>
      <c r="H101" s="97">
        <v>32940</v>
      </c>
      <c r="J101" s="81">
        <v>299138</v>
      </c>
      <c r="K101" s="81">
        <v>56204.52</v>
      </c>
    </row>
    <row r="102" spans="1:11" ht="11.25" x14ac:dyDescent="0.2">
      <c r="A102" s="65">
        <f t="shared" ref="A102:C102" si="72">A6/12*MONTH($A$96)</f>
        <v>259205.34666666668</v>
      </c>
      <c r="B102" s="65">
        <f t="shared" si="72"/>
        <v>388808.01333333337</v>
      </c>
      <c r="C102" s="65">
        <f t="shared" si="72"/>
        <v>26568.548266666668</v>
      </c>
      <c r="D102" s="1">
        <f>$D$6</f>
        <v>0.19</v>
      </c>
      <c r="E102" s="65">
        <f t="shared" si="70"/>
        <v>259205.34666666668</v>
      </c>
      <c r="G102" s="97">
        <v>240849</v>
      </c>
      <c r="H102" s="97">
        <v>32667</v>
      </c>
      <c r="J102" s="81">
        <v>299325</v>
      </c>
      <c r="K102" s="81">
        <v>55745.66</v>
      </c>
    </row>
    <row r="103" spans="1:11" ht="11.25" x14ac:dyDescent="0.2">
      <c r="A103" s="65">
        <f t="shared" ref="A103:C103" si="73">A7/12*MONTH($A$96)</f>
        <v>388808.01333333337</v>
      </c>
      <c r="B103" s="65">
        <f t="shared" si="73"/>
        <v>518410.68</v>
      </c>
      <c r="C103" s="65">
        <f t="shared" si="73"/>
        <v>51193.05493333334</v>
      </c>
      <c r="D103" s="1">
        <f>$D$7</f>
        <v>0.23</v>
      </c>
      <c r="E103" s="65">
        <f t="shared" si="70"/>
        <v>388808.01333333337</v>
      </c>
      <c r="G103" s="97">
        <v>240999</v>
      </c>
      <c r="H103" s="97">
        <v>32395</v>
      </c>
      <c r="J103" s="81">
        <v>299512</v>
      </c>
      <c r="K103" s="81">
        <v>55287.58</v>
      </c>
    </row>
    <row r="104" spans="1:11" ht="11.25" x14ac:dyDescent="0.2">
      <c r="A104" s="65">
        <f t="shared" ref="A104:C104" si="74">A8/12*MONTH($A$96)</f>
        <v>518410.68</v>
      </c>
      <c r="B104" s="65">
        <f t="shared" si="74"/>
        <v>777616.02</v>
      </c>
      <c r="C104" s="65">
        <f t="shared" si="74"/>
        <v>81001.668266666689</v>
      </c>
      <c r="D104" s="1">
        <f>$D$8</f>
        <v>0.27</v>
      </c>
      <c r="E104" s="65">
        <f t="shared" si="70"/>
        <v>518410.68</v>
      </c>
      <c r="G104" s="97">
        <v>241150</v>
      </c>
      <c r="H104" s="97">
        <v>32124</v>
      </c>
      <c r="J104" s="81">
        <v>299699</v>
      </c>
      <c r="K104" s="81">
        <v>54830.27</v>
      </c>
    </row>
    <row r="105" spans="1:11" ht="11.25" x14ac:dyDescent="0.2">
      <c r="A105" s="65">
        <f t="shared" ref="A105:C105" si="75">A9/12*MONTH($A$96)</f>
        <v>777616.02</v>
      </c>
      <c r="B105" s="65">
        <f t="shared" si="75"/>
        <v>1036821.38</v>
      </c>
      <c r="C105" s="65">
        <f t="shared" si="75"/>
        <v>150987.1100666667</v>
      </c>
      <c r="D105" s="1">
        <f>$D$9</f>
        <v>0.31</v>
      </c>
      <c r="E105" s="65">
        <f t="shared" si="70"/>
        <v>777616.02</v>
      </c>
      <c r="G105" s="97">
        <v>241301</v>
      </c>
      <c r="H105" s="97">
        <v>31853</v>
      </c>
      <c r="J105" s="81">
        <v>299886</v>
      </c>
      <c r="K105" s="81">
        <v>54373.72</v>
      </c>
    </row>
    <row r="106" spans="1:11" ht="11.25" x14ac:dyDescent="0.2">
      <c r="A106" s="65">
        <f t="shared" ref="A106:C106" si="76">A10/12*MONTH($A$96)</f>
        <v>1036821.38</v>
      </c>
      <c r="B106" s="65">
        <f t="shared" si="76"/>
        <v>6666666666</v>
      </c>
      <c r="C106" s="65">
        <f t="shared" si="76"/>
        <v>231340.77166666673</v>
      </c>
      <c r="D106" s="1">
        <f>$D$10</f>
        <v>0.35</v>
      </c>
      <c r="E106" s="65">
        <f t="shared" si="70"/>
        <v>1036821.38</v>
      </c>
      <c r="G106" s="97">
        <v>241451</v>
      </c>
      <c r="H106" s="97">
        <v>31583</v>
      </c>
      <c r="J106" s="81">
        <v>300074</v>
      </c>
      <c r="K106" s="81">
        <v>53917.93</v>
      </c>
    </row>
    <row r="107" spans="1:11" ht="11.25" x14ac:dyDescent="0.2">
      <c r="G107" s="97">
        <v>241602</v>
      </c>
      <c r="H107" s="97">
        <v>31312</v>
      </c>
      <c r="J107" s="81">
        <v>300261</v>
      </c>
      <c r="K107" s="81">
        <v>53462.879999999997</v>
      </c>
    </row>
    <row r="108" spans="1:11" ht="11.25" x14ac:dyDescent="0.2">
      <c r="A108" s="74">
        <v>44440</v>
      </c>
      <c r="G108" s="97">
        <v>241752</v>
      </c>
      <c r="H108" s="97">
        <v>31042</v>
      </c>
      <c r="J108" s="81">
        <v>300448</v>
      </c>
      <c r="K108" s="81">
        <v>53008.57</v>
      </c>
    </row>
    <row r="109" spans="1:11" ht="11.25" x14ac:dyDescent="0.2">
      <c r="A109" s="65">
        <f>A1/12*MONTH($A$108)</f>
        <v>-74999999.25</v>
      </c>
      <c r="B109" s="65">
        <f>B1/12*MONTH($A$108)</f>
        <v>0</v>
      </c>
      <c r="C109" s="65">
        <f>C1/12*MONTH($A$108)</f>
        <v>0</v>
      </c>
      <c r="D109" s="1">
        <f>$D$1</f>
        <v>0</v>
      </c>
      <c r="E109" s="65">
        <v>0</v>
      </c>
      <c r="G109" s="97">
        <v>241903</v>
      </c>
      <c r="H109" s="97">
        <v>30773</v>
      </c>
      <c r="J109" s="81">
        <v>300635</v>
      </c>
      <c r="K109" s="81">
        <v>52554.98</v>
      </c>
    </row>
    <row r="110" spans="1:11" ht="11.25" x14ac:dyDescent="0.2">
      <c r="A110" s="65">
        <f t="shared" ref="A110:C110" si="77">A2/12*MONTH($A$108)</f>
        <v>0</v>
      </c>
      <c r="B110" s="65">
        <f t="shared" si="77"/>
        <v>72901.5</v>
      </c>
      <c r="C110" s="65">
        <f t="shared" si="77"/>
        <v>0</v>
      </c>
      <c r="D110" s="1">
        <f>$D$2</f>
        <v>0.05</v>
      </c>
      <c r="E110" s="65">
        <v>0</v>
      </c>
      <c r="G110" s="97">
        <v>242054</v>
      </c>
      <c r="H110" s="97">
        <v>30504</v>
      </c>
      <c r="J110" s="81">
        <v>300822</v>
      </c>
      <c r="K110" s="81">
        <v>52102.11</v>
      </c>
    </row>
    <row r="111" spans="1:11" ht="11.25" x14ac:dyDescent="0.2">
      <c r="A111" s="65">
        <f t="shared" ref="A111:C111" si="78">A3/12*MONTH($A$108)</f>
        <v>72901.5</v>
      </c>
      <c r="B111" s="65">
        <f t="shared" si="78"/>
        <v>145803.00750000001</v>
      </c>
      <c r="C111" s="65">
        <f t="shared" si="78"/>
        <v>3645.0750000000003</v>
      </c>
      <c r="D111" s="1">
        <f>$D$3</f>
        <v>0.09</v>
      </c>
      <c r="E111" s="65">
        <f>A111</f>
        <v>72901.5</v>
      </c>
      <c r="G111" s="97">
        <v>242204</v>
      </c>
      <c r="H111" s="97">
        <v>30236</v>
      </c>
      <c r="J111" s="81">
        <v>301010</v>
      </c>
      <c r="K111" s="81">
        <v>51649.96</v>
      </c>
    </row>
    <row r="112" spans="1:11" ht="11.25" x14ac:dyDescent="0.2">
      <c r="A112" s="65">
        <f t="shared" ref="A112:C112" si="79">A4/12*MONTH($A$108)</f>
        <v>145803.00750000001</v>
      </c>
      <c r="B112" s="65">
        <f t="shared" si="79"/>
        <v>218704.50750000001</v>
      </c>
      <c r="C112" s="65">
        <f t="shared" si="79"/>
        <v>10206.210675000002</v>
      </c>
      <c r="D112" s="1">
        <f>$D$4</f>
        <v>0.12</v>
      </c>
      <c r="E112" s="65">
        <f t="shared" ref="E112:E118" si="80">A112</f>
        <v>145803.00750000001</v>
      </c>
      <c r="G112" s="97">
        <v>242355</v>
      </c>
      <c r="H112" s="97">
        <v>29968</v>
      </c>
      <c r="J112" s="81">
        <v>301197</v>
      </c>
      <c r="K112" s="81">
        <v>51198.51</v>
      </c>
    </row>
    <row r="113" spans="1:11" ht="11.25" x14ac:dyDescent="0.2">
      <c r="A113" s="65">
        <f t="shared" ref="A113:C113" si="81">A5/12*MONTH($A$108)</f>
        <v>218704.50750000001</v>
      </c>
      <c r="B113" s="65">
        <f t="shared" si="81"/>
        <v>291606.01500000001</v>
      </c>
      <c r="C113" s="65">
        <f t="shared" si="81"/>
        <v>18954.390675000002</v>
      </c>
      <c r="D113" s="1">
        <f>$D$5</f>
        <v>0.15</v>
      </c>
      <c r="E113" s="65">
        <f t="shared" si="80"/>
        <v>218704.50750000001</v>
      </c>
      <c r="G113" s="97">
        <v>242506</v>
      </c>
      <c r="H113" s="97">
        <v>29700</v>
      </c>
      <c r="J113" s="81">
        <v>301384</v>
      </c>
      <c r="K113" s="81">
        <v>50747.76</v>
      </c>
    </row>
    <row r="114" spans="1:11" ht="11.25" x14ac:dyDescent="0.2">
      <c r="A114" s="65">
        <f t="shared" ref="A114:C114" si="82">A6/12*MONTH($A$108)</f>
        <v>291606.01500000001</v>
      </c>
      <c r="B114" s="65">
        <f t="shared" si="82"/>
        <v>437409.01500000001</v>
      </c>
      <c r="C114" s="65">
        <f t="shared" si="82"/>
        <v>29889.616800000003</v>
      </c>
      <c r="D114" s="1">
        <f>$D$6</f>
        <v>0.19</v>
      </c>
      <c r="E114" s="65">
        <f t="shared" si="80"/>
        <v>291606.01500000001</v>
      </c>
      <c r="G114" s="97">
        <v>242656</v>
      </c>
      <c r="H114" s="97">
        <v>29434</v>
      </c>
      <c r="J114" s="81">
        <v>301571</v>
      </c>
      <c r="K114" s="81">
        <v>50297.7</v>
      </c>
    </row>
    <row r="115" spans="1:11" ht="11.25" x14ac:dyDescent="0.2">
      <c r="A115" s="65">
        <f t="shared" ref="A115:C115" si="83">A7/12*MONTH($A$108)</f>
        <v>437409.01500000001</v>
      </c>
      <c r="B115" s="65">
        <f t="shared" si="83"/>
        <v>583212.01500000001</v>
      </c>
      <c r="C115" s="65">
        <f t="shared" si="83"/>
        <v>57592.18680000001</v>
      </c>
      <c r="D115" s="1">
        <f>$D$7</f>
        <v>0.23</v>
      </c>
      <c r="E115" s="65">
        <f t="shared" si="80"/>
        <v>437409.01500000001</v>
      </c>
      <c r="G115" s="97">
        <v>242807</v>
      </c>
      <c r="H115" s="97">
        <v>29167</v>
      </c>
      <c r="J115" s="81">
        <v>301758</v>
      </c>
      <c r="K115" s="81">
        <v>49848.32</v>
      </c>
    </row>
    <row r="116" spans="1:11" ht="11.25" x14ac:dyDescent="0.2">
      <c r="A116" s="65">
        <f t="shared" ref="A116:C116" si="84">A8/12*MONTH($A$108)</f>
        <v>583212.01500000001</v>
      </c>
      <c r="B116" s="65">
        <f t="shared" si="84"/>
        <v>874818.02249999996</v>
      </c>
      <c r="C116" s="65">
        <f t="shared" si="84"/>
        <v>91126.876800000027</v>
      </c>
      <c r="D116" s="1">
        <f>$D$8</f>
        <v>0.27</v>
      </c>
      <c r="E116" s="65">
        <f t="shared" si="80"/>
        <v>583212.01500000001</v>
      </c>
      <c r="G116" s="97">
        <v>242957</v>
      </c>
      <c r="H116" s="97">
        <v>28900</v>
      </c>
      <c r="J116" s="81">
        <v>301946</v>
      </c>
      <c r="K116" s="81">
        <v>49399.61</v>
      </c>
    </row>
    <row r="117" spans="1:11" ht="11.25" x14ac:dyDescent="0.2">
      <c r="A117" s="65">
        <f t="shared" ref="A117:C117" si="85">A9/12*MONTH($A$108)</f>
        <v>874818.02249999996</v>
      </c>
      <c r="B117" s="65">
        <f t="shared" si="85"/>
        <v>1166424.0525</v>
      </c>
      <c r="C117" s="65">
        <f t="shared" si="85"/>
        <v>169860.49882500005</v>
      </c>
      <c r="D117" s="1">
        <f>$D$9</f>
        <v>0.31</v>
      </c>
      <c r="E117" s="65">
        <f t="shared" si="80"/>
        <v>874818.02249999996</v>
      </c>
      <c r="G117" s="97">
        <v>243108</v>
      </c>
      <c r="H117" s="97">
        <v>28634</v>
      </c>
      <c r="J117" s="81">
        <v>302133</v>
      </c>
      <c r="K117" s="81">
        <v>48951.58</v>
      </c>
    </row>
    <row r="118" spans="1:11" ht="11.25" x14ac:dyDescent="0.2">
      <c r="A118" s="65">
        <f t="shared" ref="A118:C118" si="86">A10/12*MONTH($A$108)</f>
        <v>1166424.0525</v>
      </c>
      <c r="B118" s="65">
        <f t="shared" si="86"/>
        <v>7499999999.25</v>
      </c>
      <c r="C118" s="65">
        <f t="shared" si="86"/>
        <v>260258.36812500007</v>
      </c>
      <c r="D118" s="1">
        <f>$D$10</f>
        <v>0.35</v>
      </c>
      <c r="E118" s="65">
        <f t="shared" si="80"/>
        <v>1166424.0525</v>
      </c>
      <c r="G118" s="97">
        <v>243259</v>
      </c>
      <c r="H118" s="97">
        <v>28369</v>
      </c>
      <c r="J118" s="81">
        <v>302320</v>
      </c>
      <c r="K118" s="81">
        <v>48504.21</v>
      </c>
    </row>
    <row r="119" spans="1:11" ht="11.25" x14ac:dyDescent="0.2">
      <c r="G119" s="97">
        <v>243409</v>
      </c>
      <c r="H119" s="97">
        <v>28104</v>
      </c>
      <c r="J119" s="81">
        <v>302507</v>
      </c>
      <c r="K119" s="81">
        <v>48057.49</v>
      </c>
    </row>
    <row r="120" spans="1:11" ht="11.25" x14ac:dyDescent="0.2">
      <c r="A120" s="74">
        <v>44470</v>
      </c>
      <c r="G120" s="97">
        <v>243560</v>
      </c>
      <c r="H120" s="97">
        <v>27838</v>
      </c>
      <c r="J120" s="81">
        <v>302694</v>
      </c>
      <c r="K120" s="81">
        <v>47611.42</v>
      </c>
    </row>
    <row r="121" spans="1:11" ht="11.25" x14ac:dyDescent="0.2">
      <c r="A121" s="65">
        <f>A1/12*MONTH($A$120)</f>
        <v>-83333332.5</v>
      </c>
      <c r="B121" s="65">
        <f>B1/12*MONTH($A$120)</f>
        <v>0</v>
      </c>
      <c r="C121" s="65">
        <f>C1/12*MONTH($A$120)</f>
        <v>0</v>
      </c>
      <c r="D121" s="1">
        <f>$D$1</f>
        <v>0</v>
      </c>
      <c r="E121" s="65">
        <v>0</v>
      </c>
      <c r="G121" s="97">
        <v>243711</v>
      </c>
      <c r="H121" s="97">
        <v>27575</v>
      </c>
      <c r="J121" s="81">
        <v>302882</v>
      </c>
      <c r="K121" s="81">
        <v>47165.99</v>
      </c>
    </row>
    <row r="122" spans="1:11" ht="11.25" x14ac:dyDescent="0.2">
      <c r="A122" s="65">
        <f t="shared" ref="A122:C122" si="87">A2/12*MONTH($A$120)</f>
        <v>0</v>
      </c>
      <c r="B122" s="65">
        <f t="shared" si="87"/>
        <v>81001.666666666672</v>
      </c>
      <c r="C122" s="65">
        <f t="shared" si="87"/>
        <v>0</v>
      </c>
      <c r="D122" s="1">
        <f>$D$2</f>
        <v>0.05</v>
      </c>
      <c r="E122" s="65">
        <v>0</v>
      </c>
      <c r="G122" s="97">
        <v>243861</v>
      </c>
      <c r="H122" s="97">
        <v>27311</v>
      </c>
      <c r="J122" s="81">
        <v>303069</v>
      </c>
      <c r="K122" s="81">
        <v>46721.2</v>
      </c>
    </row>
    <row r="123" spans="1:11" ht="11.25" x14ac:dyDescent="0.2">
      <c r="A123" s="65">
        <f t="shared" ref="A123:C123" si="88">A3/12*MONTH($A$120)</f>
        <v>81001.666666666672</v>
      </c>
      <c r="B123" s="65">
        <f t="shared" si="88"/>
        <v>162003.34166666667</v>
      </c>
      <c r="C123" s="65">
        <f t="shared" si="88"/>
        <v>4050.0833333333339</v>
      </c>
      <c r="D123" s="1">
        <f>$D$3</f>
        <v>0.09</v>
      </c>
      <c r="E123" s="65">
        <f>A123</f>
        <v>81001.666666666672</v>
      </c>
      <c r="G123" s="97">
        <v>244012</v>
      </c>
      <c r="H123" s="97">
        <v>27048</v>
      </c>
      <c r="J123" s="81">
        <v>303256</v>
      </c>
      <c r="K123" s="81">
        <v>46277.04</v>
      </c>
    </row>
    <row r="124" spans="1:11" ht="11.25" x14ac:dyDescent="0.2">
      <c r="A124" s="65">
        <f t="shared" ref="A124:C124" si="89">A4/12*MONTH($A$120)</f>
        <v>162003.34166666667</v>
      </c>
      <c r="B124" s="65">
        <f t="shared" si="89"/>
        <v>243005.00833333336</v>
      </c>
      <c r="C124" s="65">
        <f t="shared" si="89"/>
        <v>11340.234083333335</v>
      </c>
      <c r="D124" s="1">
        <f>$D$4</f>
        <v>0.12</v>
      </c>
      <c r="E124" s="65">
        <f t="shared" ref="E124:E130" si="90">A124</f>
        <v>162003.34166666667</v>
      </c>
      <c r="G124" s="97">
        <v>244162</v>
      </c>
      <c r="H124" s="97">
        <v>26784</v>
      </c>
      <c r="J124" s="81">
        <v>303443</v>
      </c>
      <c r="K124" s="81">
        <v>45833.5</v>
      </c>
    </row>
    <row r="125" spans="1:11" ht="11.25" x14ac:dyDescent="0.2">
      <c r="A125" s="65">
        <f t="shared" ref="A125:C125" si="91">A5/12*MONTH($A$120)</f>
        <v>243005.00833333336</v>
      </c>
      <c r="B125" s="65">
        <f t="shared" si="91"/>
        <v>324006.68333333335</v>
      </c>
      <c r="C125" s="65">
        <f t="shared" si="91"/>
        <v>21060.434083333334</v>
      </c>
      <c r="D125" s="1">
        <f>$D$5</f>
        <v>0.15</v>
      </c>
      <c r="E125" s="65">
        <f t="shared" si="90"/>
        <v>243005.00833333336</v>
      </c>
      <c r="G125" s="97">
        <v>244313</v>
      </c>
      <c r="H125" s="97">
        <v>26520</v>
      </c>
      <c r="J125" s="81">
        <v>303630</v>
      </c>
      <c r="K125" s="81">
        <v>45390.58</v>
      </c>
    </row>
    <row r="126" spans="1:11" ht="11.25" x14ac:dyDescent="0.2">
      <c r="A126" s="65">
        <f t="shared" ref="A126:C126" si="92">A6/12*MONTH($A$120)</f>
        <v>324006.68333333335</v>
      </c>
      <c r="B126" s="65">
        <f t="shared" si="92"/>
        <v>486010.01666666672</v>
      </c>
      <c r="C126" s="65">
        <f t="shared" si="92"/>
        <v>33210.685333333335</v>
      </c>
      <c r="D126" s="1">
        <f>$D$6</f>
        <v>0.19</v>
      </c>
      <c r="E126" s="65">
        <f t="shared" si="90"/>
        <v>324006.68333333335</v>
      </c>
      <c r="G126" s="97">
        <v>244464</v>
      </c>
      <c r="H126" s="97">
        <v>26258</v>
      </c>
      <c r="J126" s="81">
        <v>303818</v>
      </c>
      <c r="K126" s="81">
        <v>44948.27</v>
      </c>
    </row>
    <row r="127" spans="1:11" ht="11.25" x14ac:dyDescent="0.2">
      <c r="A127" s="65">
        <f t="shared" ref="A127:C127" si="93">A7/12*MONTH($A$120)</f>
        <v>486010.01666666672</v>
      </c>
      <c r="B127" s="65">
        <f t="shared" si="93"/>
        <v>648013.35</v>
      </c>
      <c r="C127" s="65">
        <f t="shared" si="93"/>
        <v>63991.318666666673</v>
      </c>
      <c r="D127" s="1">
        <f>$D$7</f>
        <v>0.23</v>
      </c>
      <c r="E127" s="65">
        <f t="shared" si="90"/>
        <v>486010.01666666672</v>
      </c>
      <c r="G127" s="97">
        <v>244614</v>
      </c>
      <c r="H127" s="97">
        <v>25996</v>
      </c>
      <c r="J127" s="81">
        <v>304005</v>
      </c>
      <c r="K127" s="81">
        <v>44506.57</v>
      </c>
    </row>
    <row r="128" spans="1:11" ht="11.25" x14ac:dyDescent="0.2">
      <c r="A128" s="65">
        <f t="shared" ref="A128:C128" si="94">A8/12*MONTH($A$120)</f>
        <v>648013.35</v>
      </c>
      <c r="B128" s="65">
        <f t="shared" si="94"/>
        <v>972020.02500000002</v>
      </c>
      <c r="C128" s="65">
        <f t="shared" si="94"/>
        <v>101252.08533333337</v>
      </c>
      <c r="D128" s="1">
        <f>$D$8</f>
        <v>0.27</v>
      </c>
      <c r="E128" s="65">
        <f t="shared" si="90"/>
        <v>648013.35</v>
      </c>
      <c r="G128" s="97">
        <v>244765</v>
      </c>
      <c r="H128" s="97">
        <v>25734</v>
      </c>
      <c r="J128" s="81">
        <v>304192</v>
      </c>
      <c r="K128" s="81">
        <v>44065.46</v>
      </c>
    </row>
    <row r="129" spans="1:11" ht="11.25" x14ac:dyDescent="0.2">
      <c r="A129" s="65">
        <f t="shared" ref="A129:C129" si="95">A9/12*MONTH($A$120)</f>
        <v>972020.02500000002</v>
      </c>
      <c r="B129" s="65">
        <f t="shared" si="95"/>
        <v>1296026.7250000001</v>
      </c>
      <c r="C129" s="65">
        <f t="shared" si="95"/>
        <v>188733.88758333339</v>
      </c>
      <c r="D129" s="1">
        <f>$D$9</f>
        <v>0.31</v>
      </c>
      <c r="E129" s="65">
        <f t="shared" si="90"/>
        <v>972020.02500000002</v>
      </c>
      <c r="G129" s="97">
        <v>244916</v>
      </c>
      <c r="H129" s="97">
        <v>25472</v>
      </c>
      <c r="J129" s="81">
        <v>304379</v>
      </c>
      <c r="K129" s="81">
        <v>43624.95</v>
      </c>
    </row>
    <row r="130" spans="1:11" ht="11.25" x14ac:dyDescent="0.2">
      <c r="A130" s="65">
        <f t="shared" ref="A130:C130" si="96">A10/12*MONTH($A$120)</f>
        <v>1296026.7250000001</v>
      </c>
      <c r="B130" s="65">
        <f t="shared" si="96"/>
        <v>8333333332.5</v>
      </c>
      <c r="C130" s="65">
        <f t="shared" si="96"/>
        <v>289175.96458333341</v>
      </c>
      <c r="D130" s="1">
        <f>$D$10</f>
        <v>0.35</v>
      </c>
      <c r="E130" s="65">
        <f t="shared" si="90"/>
        <v>1296026.7250000001</v>
      </c>
      <c r="G130" s="97">
        <v>245066</v>
      </c>
      <c r="H130" s="97">
        <v>25212</v>
      </c>
      <c r="J130" s="81">
        <v>304566</v>
      </c>
      <c r="K130" s="81">
        <v>43185.04</v>
      </c>
    </row>
    <row r="131" spans="1:11" ht="11.25" x14ac:dyDescent="0.2">
      <c r="G131" s="97">
        <v>245217</v>
      </c>
      <c r="H131" s="97">
        <v>24951</v>
      </c>
      <c r="J131" s="81">
        <v>304754</v>
      </c>
      <c r="K131" s="81">
        <v>42745.7</v>
      </c>
    </row>
    <row r="132" spans="1:11" ht="11.25" x14ac:dyDescent="0.2">
      <c r="A132" s="74">
        <v>44501</v>
      </c>
      <c r="G132" s="97">
        <v>245367</v>
      </c>
      <c r="H132" s="97">
        <v>24690</v>
      </c>
      <c r="J132" s="81">
        <v>304941</v>
      </c>
      <c r="K132" s="81">
        <v>42306.94</v>
      </c>
    </row>
    <row r="133" spans="1:11" ht="11.25" x14ac:dyDescent="0.2">
      <c r="A133" s="65">
        <f>A1/12*MONTH($A$132)</f>
        <v>-91666665.75</v>
      </c>
      <c r="B133" s="65">
        <f>B1/12*MONTH($A$132)</f>
        <v>0</v>
      </c>
      <c r="C133" s="65">
        <f>C1/12*MONTH($A$132)</f>
        <v>0</v>
      </c>
      <c r="D133" s="1">
        <f>$D$1</f>
        <v>0</v>
      </c>
      <c r="E133" s="65">
        <v>0</v>
      </c>
      <c r="G133" s="97">
        <v>245518</v>
      </c>
      <c r="H133" s="97">
        <v>24430</v>
      </c>
      <c r="J133" s="81">
        <v>305128</v>
      </c>
      <c r="K133" s="81">
        <v>41868.76</v>
      </c>
    </row>
    <row r="134" spans="1:11" ht="11.25" x14ac:dyDescent="0.2">
      <c r="A134" s="65">
        <f t="shared" ref="A134:C134" si="97">A2/12*MONTH($A$132)</f>
        <v>0</v>
      </c>
      <c r="B134" s="65">
        <f t="shared" si="97"/>
        <v>89101.833333333343</v>
      </c>
      <c r="C134" s="65">
        <f t="shared" si="97"/>
        <v>0</v>
      </c>
      <c r="D134" s="1">
        <f>$D$2</f>
        <v>0.05</v>
      </c>
      <c r="E134" s="65">
        <v>0</v>
      </c>
      <c r="G134" s="97">
        <v>245669</v>
      </c>
      <c r="H134" s="97">
        <v>24171</v>
      </c>
      <c r="J134" s="81">
        <v>305315</v>
      </c>
      <c r="K134" s="81">
        <v>41431.15</v>
      </c>
    </row>
    <row r="135" spans="1:11" ht="11.25" x14ac:dyDescent="0.2">
      <c r="A135" s="65">
        <f t="shared" ref="A135:C135" si="98">A3/12*MONTH($A$132)</f>
        <v>89101.833333333343</v>
      </c>
      <c r="B135" s="65">
        <f t="shared" si="98"/>
        <v>178203.67583333334</v>
      </c>
      <c r="C135" s="65">
        <f t="shared" si="98"/>
        <v>4455.0916666666672</v>
      </c>
      <c r="D135" s="1">
        <f>$D$3</f>
        <v>0.09</v>
      </c>
      <c r="E135" s="65">
        <f>A135</f>
        <v>89101.833333333343</v>
      </c>
      <c r="G135" s="97">
        <v>245819</v>
      </c>
      <c r="H135" s="97">
        <v>23912</v>
      </c>
      <c r="J135" s="81">
        <v>305502</v>
      </c>
      <c r="K135" s="81">
        <v>40994.1</v>
      </c>
    </row>
    <row r="136" spans="1:11" ht="11.25" x14ac:dyDescent="0.2">
      <c r="A136" s="65">
        <f t="shared" ref="A136:C136" si="99">A4/12*MONTH($A$132)</f>
        <v>178203.67583333334</v>
      </c>
      <c r="B136" s="65">
        <f t="shared" si="99"/>
        <v>267305.50916666671</v>
      </c>
      <c r="C136" s="65">
        <f t="shared" si="99"/>
        <v>12474.257491666667</v>
      </c>
      <c r="D136" s="1">
        <f>$D$4</f>
        <v>0.12</v>
      </c>
      <c r="E136" s="65">
        <f t="shared" ref="E136:E142" si="100">A136</f>
        <v>178203.67583333334</v>
      </c>
      <c r="G136" s="97">
        <v>245970</v>
      </c>
      <c r="H136" s="97">
        <v>23653</v>
      </c>
      <c r="J136" s="81">
        <v>305689</v>
      </c>
      <c r="K136" s="81">
        <v>40557.599999999999</v>
      </c>
    </row>
    <row r="137" spans="1:11" ht="11.25" x14ac:dyDescent="0.2">
      <c r="A137" s="65">
        <f t="shared" ref="A137:C137" si="101">A5/12*MONTH($A$132)</f>
        <v>267305.50916666671</v>
      </c>
      <c r="B137" s="65">
        <f t="shared" si="101"/>
        <v>356407.35166666668</v>
      </c>
      <c r="C137" s="65">
        <f t="shared" si="101"/>
        <v>23166.477491666668</v>
      </c>
      <c r="D137" s="1">
        <f>$D$5</f>
        <v>0.15</v>
      </c>
      <c r="E137" s="65">
        <f t="shared" si="100"/>
        <v>267305.50916666671</v>
      </c>
      <c r="G137" s="97">
        <v>246121</v>
      </c>
      <c r="H137" s="97">
        <v>23393</v>
      </c>
      <c r="J137" s="81">
        <v>305877</v>
      </c>
      <c r="K137" s="81">
        <v>40121.660000000003</v>
      </c>
    </row>
    <row r="138" spans="1:11" ht="11.25" x14ac:dyDescent="0.2">
      <c r="A138" s="65">
        <f t="shared" ref="A138:C138" si="102">A6/12*MONTH($A$132)</f>
        <v>356407.35166666668</v>
      </c>
      <c r="B138" s="65">
        <f t="shared" si="102"/>
        <v>534611.01833333343</v>
      </c>
      <c r="C138" s="65">
        <f t="shared" si="102"/>
        <v>36531.753866666666</v>
      </c>
      <c r="D138" s="1">
        <f>$D$6</f>
        <v>0.19</v>
      </c>
      <c r="E138" s="65">
        <f t="shared" si="100"/>
        <v>356407.35166666668</v>
      </c>
      <c r="G138" s="97">
        <v>246271</v>
      </c>
      <c r="H138" s="97">
        <v>23134</v>
      </c>
      <c r="J138" s="81">
        <v>306064</v>
      </c>
      <c r="K138" s="81">
        <v>39686.269999999997</v>
      </c>
    </row>
    <row r="139" spans="1:11" ht="11.25" x14ac:dyDescent="0.2">
      <c r="A139" s="65">
        <f t="shared" ref="A139:C139" si="103">A7/12*MONTH($A$132)</f>
        <v>534611.01833333343</v>
      </c>
      <c r="B139" s="65">
        <f t="shared" si="103"/>
        <v>712814.68499999994</v>
      </c>
      <c r="C139" s="65">
        <f t="shared" si="103"/>
        <v>70390.450533333336</v>
      </c>
      <c r="D139" s="1">
        <f>$D$7</f>
        <v>0.23</v>
      </c>
      <c r="E139" s="65">
        <f t="shared" si="100"/>
        <v>534611.01833333343</v>
      </c>
      <c r="G139" s="97">
        <v>246422</v>
      </c>
      <c r="H139" s="97">
        <v>22877</v>
      </c>
      <c r="J139" s="81">
        <v>306251</v>
      </c>
      <c r="K139" s="81">
        <v>39251.42</v>
      </c>
    </row>
    <row r="140" spans="1:11" ht="11.25" x14ac:dyDescent="0.2">
      <c r="A140" s="65">
        <f t="shared" ref="A140:C140" si="104">A8/12*MONTH($A$132)</f>
        <v>712814.68499999994</v>
      </c>
      <c r="B140" s="65">
        <f t="shared" si="104"/>
        <v>1069222.0275000001</v>
      </c>
      <c r="C140" s="65">
        <f t="shared" si="104"/>
        <v>111377.2938666667</v>
      </c>
      <c r="D140" s="1">
        <f>$D$8</f>
        <v>0.27</v>
      </c>
      <c r="E140" s="65">
        <f t="shared" si="100"/>
        <v>712814.68499999994</v>
      </c>
      <c r="G140" s="97">
        <v>246572</v>
      </c>
      <c r="H140" s="97">
        <v>22619</v>
      </c>
      <c r="J140" s="81">
        <v>306438</v>
      </c>
      <c r="K140" s="81">
        <v>38817.120000000003</v>
      </c>
    </row>
    <row r="141" spans="1:11" ht="11.25" x14ac:dyDescent="0.2">
      <c r="A141" s="65">
        <f t="shared" ref="A141:C141" si="105">A9/12*MONTH($A$132)</f>
        <v>1069222.0275000001</v>
      </c>
      <c r="B141" s="65">
        <f t="shared" si="105"/>
        <v>1425629.3975</v>
      </c>
      <c r="C141" s="65">
        <f t="shared" si="105"/>
        <v>207607.27634166673</v>
      </c>
      <c r="D141" s="1">
        <f>$D$9</f>
        <v>0.31</v>
      </c>
      <c r="E141" s="65">
        <f t="shared" si="100"/>
        <v>1069222.0275000001</v>
      </c>
      <c r="G141" s="97">
        <v>246723</v>
      </c>
      <c r="H141" s="97">
        <v>22362</v>
      </c>
      <c r="J141" s="81">
        <v>306625</v>
      </c>
      <c r="K141" s="81">
        <v>38383.339999999997</v>
      </c>
    </row>
    <row r="142" spans="1:11" ht="11.25" x14ac:dyDescent="0.2">
      <c r="A142" s="65">
        <f t="shared" ref="A142:C142" si="106">A10/12*MONTH($A$132)</f>
        <v>1425629.3975</v>
      </c>
      <c r="B142" s="65">
        <f t="shared" si="106"/>
        <v>9166666665.75</v>
      </c>
      <c r="C142" s="65">
        <f t="shared" si="106"/>
        <v>318093.56104166678</v>
      </c>
      <c r="D142" s="1">
        <f>$D$10</f>
        <v>0.35</v>
      </c>
      <c r="E142" s="65">
        <f t="shared" si="100"/>
        <v>1425629.3975</v>
      </c>
      <c r="G142" s="97">
        <v>246874</v>
      </c>
      <c r="H142" s="97">
        <v>22104</v>
      </c>
      <c r="J142" s="81">
        <v>306813</v>
      </c>
      <c r="K142" s="81">
        <v>37950.1</v>
      </c>
    </row>
    <row r="143" spans="1:11" ht="11.25" x14ac:dyDescent="0.2">
      <c r="G143" s="97">
        <v>247024</v>
      </c>
      <c r="H143" s="97">
        <v>21848</v>
      </c>
      <c r="J143" s="81">
        <v>307000</v>
      </c>
      <c r="K143" s="81">
        <v>37517.379999999997</v>
      </c>
    </row>
    <row r="144" spans="1:11" ht="11.25" x14ac:dyDescent="0.2">
      <c r="G144" s="97">
        <v>247175</v>
      </c>
      <c r="H144" s="97">
        <v>21591</v>
      </c>
      <c r="J144" s="81">
        <v>307187</v>
      </c>
      <c r="K144" s="81">
        <v>37085.19</v>
      </c>
    </row>
    <row r="145" spans="7:11" ht="11.25" x14ac:dyDescent="0.2">
      <c r="G145" s="97">
        <v>247326</v>
      </c>
      <c r="H145" s="97">
        <v>21334</v>
      </c>
      <c r="J145" s="81">
        <v>307374</v>
      </c>
      <c r="K145" s="81">
        <v>36653.51</v>
      </c>
    </row>
    <row r="146" spans="7:11" ht="11.25" x14ac:dyDescent="0.2">
      <c r="G146" s="97">
        <v>247476</v>
      </c>
      <c r="H146" s="97">
        <v>21078</v>
      </c>
      <c r="J146" s="81">
        <v>307561</v>
      </c>
      <c r="K146" s="81">
        <v>36222.339999999997</v>
      </c>
    </row>
    <row r="147" spans="7:11" ht="11.25" x14ac:dyDescent="0.2">
      <c r="G147" s="97">
        <v>247627</v>
      </c>
      <c r="H147" s="97">
        <v>20822</v>
      </c>
      <c r="J147" s="81">
        <v>307749</v>
      </c>
      <c r="K147" s="81">
        <v>35791.68</v>
      </c>
    </row>
    <row r="148" spans="7:11" ht="11.25" x14ac:dyDescent="0.2">
      <c r="G148" s="97">
        <v>247777</v>
      </c>
      <c r="H148" s="97">
        <v>20568</v>
      </c>
      <c r="J148" s="81">
        <v>307936</v>
      </c>
      <c r="K148" s="81">
        <v>35361.53</v>
      </c>
    </row>
    <row r="149" spans="7:11" ht="11.25" x14ac:dyDescent="0.2">
      <c r="G149" s="97">
        <v>247928</v>
      </c>
      <c r="H149" s="97">
        <v>20313</v>
      </c>
      <c r="J149" s="81">
        <v>308123</v>
      </c>
      <c r="K149" s="81">
        <v>34931.879999999997</v>
      </c>
    </row>
    <row r="150" spans="7:11" ht="11.25" x14ac:dyDescent="0.2">
      <c r="G150" s="97">
        <v>248079</v>
      </c>
      <c r="H150" s="97">
        <v>20059</v>
      </c>
      <c r="J150" s="81">
        <v>308310</v>
      </c>
      <c r="K150" s="81">
        <v>34502.720000000001</v>
      </c>
    </row>
    <row r="151" spans="7:11" ht="11.25" x14ac:dyDescent="0.2">
      <c r="G151" s="97">
        <v>248229</v>
      </c>
      <c r="H151" s="97">
        <v>19804</v>
      </c>
      <c r="J151" s="81">
        <v>308497</v>
      </c>
      <c r="K151" s="81">
        <v>34074.06</v>
      </c>
    </row>
    <row r="152" spans="7:11" ht="11.25" x14ac:dyDescent="0.2">
      <c r="G152" s="97">
        <v>248380</v>
      </c>
      <c r="H152" s="97">
        <v>19550</v>
      </c>
      <c r="J152" s="81">
        <v>308685</v>
      </c>
      <c r="K152" s="81">
        <v>33645.89</v>
      </c>
    </row>
    <row r="153" spans="7:11" ht="11.25" x14ac:dyDescent="0.2">
      <c r="G153" s="97">
        <v>248531</v>
      </c>
      <c r="H153" s="97">
        <v>19295</v>
      </c>
      <c r="J153" s="81">
        <v>308872</v>
      </c>
      <c r="K153" s="81">
        <v>33218.199999999997</v>
      </c>
    </row>
    <row r="154" spans="7:11" ht="11.25" x14ac:dyDescent="0.2">
      <c r="G154" s="97">
        <v>248681</v>
      </c>
      <c r="H154" s="97">
        <v>19042</v>
      </c>
      <c r="J154" s="81">
        <v>309059</v>
      </c>
      <c r="K154" s="81">
        <v>32790.99</v>
      </c>
    </row>
    <row r="155" spans="7:11" ht="11.25" x14ac:dyDescent="0.2">
      <c r="G155" s="97">
        <v>248832</v>
      </c>
      <c r="H155" s="97">
        <v>18789</v>
      </c>
      <c r="J155" s="81">
        <v>309246</v>
      </c>
      <c r="K155" s="81">
        <v>32364.26</v>
      </c>
    </row>
    <row r="156" spans="7:11" ht="11.25" x14ac:dyDescent="0.2">
      <c r="G156" s="97">
        <v>248982</v>
      </c>
      <c r="H156" s="97">
        <v>18536</v>
      </c>
      <c r="J156" s="81">
        <v>309433</v>
      </c>
      <c r="K156" s="81">
        <v>31938</v>
      </c>
    </row>
    <row r="157" spans="7:11" ht="11.25" x14ac:dyDescent="0.2">
      <c r="G157" s="97">
        <v>249133</v>
      </c>
      <c r="H157" s="97">
        <v>18283</v>
      </c>
      <c r="J157" s="81">
        <v>309621</v>
      </c>
      <c r="K157" s="81">
        <v>31512.22</v>
      </c>
    </row>
    <row r="158" spans="7:11" ht="11.25" x14ac:dyDescent="0.2">
      <c r="G158" s="97">
        <v>249284</v>
      </c>
      <c r="H158" s="97">
        <v>18030</v>
      </c>
      <c r="J158" s="81">
        <v>309808</v>
      </c>
      <c r="K158" s="81">
        <v>31086.9</v>
      </c>
    </row>
    <row r="159" spans="7:11" ht="11.25" x14ac:dyDescent="0.2">
      <c r="G159" s="97">
        <v>249434</v>
      </c>
      <c r="H159" s="97">
        <v>17778</v>
      </c>
      <c r="J159" s="81">
        <v>309995</v>
      </c>
      <c r="K159" s="81">
        <v>30662.04</v>
      </c>
    </row>
    <row r="160" spans="7:11" ht="11.25" x14ac:dyDescent="0.2">
      <c r="G160" s="97">
        <v>249585</v>
      </c>
      <c r="H160" s="97">
        <v>17527</v>
      </c>
      <c r="J160" s="81">
        <v>310182</v>
      </c>
      <c r="K160" s="81">
        <v>30237.64</v>
      </c>
    </row>
    <row r="161" spans="7:11" ht="11.25" x14ac:dyDescent="0.2">
      <c r="G161" s="97">
        <v>249736</v>
      </c>
      <c r="H161" s="97">
        <v>17275</v>
      </c>
      <c r="J161" s="81">
        <v>310369</v>
      </c>
      <c r="K161" s="81">
        <v>29813.7</v>
      </c>
    </row>
    <row r="162" spans="7:11" ht="11.25" x14ac:dyDescent="0.2">
      <c r="G162" s="97">
        <v>249886</v>
      </c>
      <c r="H162" s="97">
        <v>17024</v>
      </c>
      <c r="J162" s="81">
        <v>310557</v>
      </c>
      <c r="K162" s="81">
        <v>29390.22</v>
      </c>
    </row>
    <row r="163" spans="7:11" ht="11.25" x14ac:dyDescent="0.2">
      <c r="G163" s="97">
        <v>250037</v>
      </c>
      <c r="H163" s="97">
        <v>16772</v>
      </c>
      <c r="J163" s="81">
        <v>310744</v>
      </c>
      <c r="K163" s="81">
        <v>28967.18</v>
      </c>
    </row>
    <row r="164" spans="7:11" ht="11.25" x14ac:dyDescent="0.2">
      <c r="G164" s="97">
        <v>250187</v>
      </c>
      <c r="H164" s="97">
        <v>16522</v>
      </c>
      <c r="J164" s="81">
        <v>310931</v>
      </c>
      <c r="K164" s="81">
        <v>28544.59</v>
      </c>
    </row>
    <row r="165" spans="7:11" ht="11.25" x14ac:dyDescent="0.2">
      <c r="G165" s="97">
        <v>250338</v>
      </c>
      <c r="H165" s="97">
        <v>16270</v>
      </c>
      <c r="J165" s="81">
        <v>311118</v>
      </c>
      <c r="K165" s="81">
        <v>28122.44</v>
      </c>
    </row>
    <row r="166" spans="7:11" ht="11.25" x14ac:dyDescent="0.2">
      <c r="G166" s="97">
        <v>250489</v>
      </c>
      <c r="H166" s="97">
        <v>16020</v>
      </c>
      <c r="J166" s="81">
        <v>311305</v>
      </c>
      <c r="K166" s="81">
        <v>27700.73</v>
      </c>
    </row>
    <row r="167" spans="7:11" ht="11.25" x14ac:dyDescent="0.2">
      <c r="G167" s="97">
        <v>250639</v>
      </c>
      <c r="H167" s="97">
        <v>15770</v>
      </c>
      <c r="J167" s="81">
        <v>311493</v>
      </c>
      <c r="K167" s="81">
        <v>27279.46</v>
      </c>
    </row>
    <row r="168" spans="7:11" ht="11.25" x14ac:dyDescent="0.2">
      <c r="G168" s="97">
        <v>250790</v>
      </c>
      <c r="H168" s="97">
        <v>15520</v>
      </c>
      <c r="J168" s="81">
        <v>311680</v>
      </c>
      <c r="K168" s="81">
        <v>26858.63</v>
      </c>
    </row>
    <row r="169" spans="7:11" ht="11.25" x14ac:dyDescent="0.2">
      <c r="G169" s="97">
        <v>250941</v>
      </c>
      <c r="H169" s="97">
        <v>15272</v>
      </c>
      <c r="J169" s="81">
        <v>311867</v>
      </c>
      <c r="K169" s="81">
        <v>26438.22</v>
      </c>
    </row>
    <row r="170" spans="7:11" ht="11.25" x14ac:dyDescent="0.2">
      <c r="G170" s="97">
        <v>251091</v>
      </c>
      <c r="H170" s="97">
        <v>15022</v>
      </c>
      <c r="J170" s="81">
        <v>312054</v>
      </c>
      <c r="K170" s="81">
        <v>26018.240000000002</v>
      </c>
    </row>
    <row r="171" spans="7:11" ht="11.25" x14ac:dyDescent="0.2">
      <c r="G171" s="97">
        <v>251242</v>
      </c>
      <c r="H171" s="97">
        <v>14773</v>
      </c>
      <c r="J171" s="81">
        <v>312241</v>
      </c>
      <c r="K171" s="81">
        <v>25598.69</v>
      </c>
    </row>
    <row r="172" spans="7:11" ht="11.25" x14ac:dyDescent="0.2">
      <c r="G172" s="97">
        <v>251392</v>
      </c>
      <c r="H172" s="97">
        <v>14525</v>
      </c>
      <c r="J172" s="81">
        <v>312429</v>
      </c>
      <c r="K172" s="81">
        <v>25179.55</v>
      </c>
    </row>
    <row r="173" spans="7:11" ht="11.25" x14ac:dyDescent="0.2">
      <c r="G173" s="97">
        <v>251543</v>
      </c>
      <c r="H173" s="97">
        <v>14276</v>
      </c>
      <c r="J173" s="81">
        <v>312616</v>
      </c>
      <c r="K173" s="81">
        <v>24760.84</v>
      </c>
    </row>
    <row r="174" spans="7:11" ht="11.25" x14ac:dyDescent="0.2">
      <c r="G174" s="97">
        <v>251694</v>
      </c>
      <c r="H174" s="97">
        <v>14028</v>
      </c>
      <c r="J174" s="81">
        <v>312803</v>
      </c>
      <c r="K174" s="81">
        <v>24342.55</v>
      </c>
    </row>
    <row r="175" spans="7:11" ht="11.25" x14ac:dyDescent="0.2">
      <c r="G175" s="97">
        <v>251844</v>
      </c>
      <c r="H175" s="97">
        <v>13779</v>
      </c>
      <c r="J175" s="81">
        <v>312990</v>
      </c>
      <c r="K175" s="81">
        <v>23924.66</v>
      </c>
    </row>
    <row r="176" spans="7:11" ht="11.25" x14ac:dyDescent="0.2">
      <c r="G176" s="97">
        <v>251995</v>
      </c>
      <c r="H176" s="97">
        <v>13531</v>
      </c>
      <c r="J176" s="81">
        <v>313177</v>
      </c>
      <c r="K176" s="81">
        <v>23507.19</v>
      </c>
    </row>
    <row r="177" spans="7:11" ht="11.25" x14ac:dyDescent="0.2">
      <c r="G177" s="97">
        <v>252145</v>
      </c>
      <c r="H177" s="97">
        <v>13284</v>
      </c>
      <c r="J177" s="81">
        <v>313364</v>
      </c>
      <c r="K177" s="81">
        <v>23090.12</v>
      </c>
    </row>
    <row r="178" spans="7:11" ht="11.25" x14ac:dyDescent="0.2">
      <c r="G178" s="97">
        <v>252296</v>
      </c>
      <c r="H178" s="97">
        <v>13037</v>
      </c>
      <c r="J178" s="81">
        <v>313552</v>
      </c>
      <c r="K178" s="81">
        <v>22673.46</v>
      </c>
    </row>
    <row r="179" spans="7:11" ht="11.25" x14ac:dyDescent="0.2">
      <c r="G179" s="97">
        <v>252447</v>
      </c>
      <c r="H179" s="97">
        <v>12790</v>
      </c>
      <c r="J179" s="81">
        <v>313739</v>
      </c>
      <c r="K179" s="81">
        <v>22257.200000000001</v>
      </c>
    </row>
    <row r="180" spans="7:11" ht="11.25" x14ac:dyDescent="0.2">
      <c r="G180" s="97">
        <v>252597</v>
      </c>
      <c r="H180" s="97">
        <v>12543</v>
      </c>
      <c r="J180" s="81">
        <v>313926</v>
      </c>
      <c r="K180" s="81">
        <v>21841.34</v>
      </c>
    </row>
    <row r="181" spans="7:11" ht="11.25" x14ac:dyDescent="0.2">
      <c r="G181" s="97">
        <v>252748</v>
      </c>
      <c r="H181" s="97">
        <v>12295</v>
      </c>
      <c r="J181" s="81">
        <v>314113</v>
      </c>
      <c r="K181" s="81">
        <v>21425.88</v>
      </c>
    </row>
    <row r="182" spans="7:11" ht="11.25" x14ac:dyDescent="0.2">
      <c r="G182" s="97">
        <v>252899</v>
      </c>
      <c r="H182" s="97">
        <v>12050</v>
      </c>
      <c r="J182" s="81">
        <v>314300</v>
      </c>
      <c r="K182" s="81">
        <v>21010.82</v>
      </c>
    </row>
    <row r="183" spans="7:11" ht="11.25" x14ac:dyDescent="0.2">
      <c r="G183" s="97">
        <v>253049</v>
      </c>
      <c r="H183" s="97">
        <v>11803</v>
      </c>
      <c r="J183" s="81">
        <v>314488</v>
      </c>
      <c r="K183" s="81">
        <v>20596.14</v>
      </c>
    </row>
    <row r="184" spans="7:11" ht="11.25" x14ac:dyDescent="0.2">
      <c r="G184" s="97">
        <v>253200</v>
      </c>
      <c r="H184" s="97">
        <v>11557</v>
      </c>
      <c r="J184" s="81">
        <v>314675</v>
      </c>
      <c r="K184" s="81">
        <v>20181.849999999999</v>
      </c>
    </row>
    <row r="185" spans="7:11" ht="11.25" x14ac:dyDescent="0.2">
      <c r="G185" s="97">
        <v>253350</v>
      </c>
      <c r="H185" s="97">
        <v>11312</v>
      </c>
      <c r="J185" s="81">
        <v>314862</v>
      </c>
      <c r="K185" s="81">
        <v>19767.95</v>
      </c>
    </row>
    <row r="186" spans="7:11" ht="11.25" x14ac:dyDescent="0.2">
      <c r="G186" s="97">
        <v>253501</v>
      </c>
      <c r="H186" s="97">
        <v>11066</v>
      </c>
      <c r="J186" s="81">
        <v>315049</v>
      </c>
      <c r="K186" s="81">
        <v>19354.439999999999</v>
      </c>
    </row>
    <row r="187" spans="7:11" ht="11.25" x14ac:dyDescent="0.2">
      <c r="G187" s="97">
        <v>253652</v>
      </c>
      <c r="H187" s="97">
        <v>10821</v>
      </c>
      <c r="J187" s="81">
        <v>315236</v>
      </c>
      <c r="K187" s="81">
        <v>18941.310000000001</v>
      </c>
    </row>
    <row r="188" spans="7:11" ht="11.25" x14ac:dyDescent="0.2">
      <c r="G188" s="97">
        <v>253802</v>
      </c>
      <c r="H188" s="97">
        <v>10577</v>
      </c>
      <c r="J188" s="81">
        <v>315424</v>
      </c>
      <c r="K188" s="81">
        <v>18528.55</v>
      </c>
    </row>
    <row r="189" spans="7:11" ht="11.25" x14ac:dyDescent="0.2">
      <c r="G189" s="97">
        <v>253953</v>
      </c>
      <c r="H189" s="97">
        <v>10331</v>
      </c>
      <c r="J189" s="81">
        <v>315611</v>
      </c>
      <c r="K189" s="81">
        <v>18116.169999999998</v>
      </c>
    </row>
    <row r="190" spans="7:11" ht="11.25" x14ac:dyDescent="0.2">
      <c r="G190" s="97">
        <v>254104</v>
      </c>
      <c r="H190" s="97">
        <v>10087</v>
      </c>
      <c r="J190" s="81">
        <v>315798</v>
      </c>
      <c r="K190" s="81">
        <v>17704.169999999998</v>
      </c>
    </row>
    <row r="191" spans="7:11" ht="11.25" x14ac:dyDescent="0.2">
      <c r="G191" s="97">
        <v>254254</v>
      </c>
      <c r="H191" s="97">
        <v>9842</v>
      </c>
      <c r="J191" s="81">
        <v>315985</v>
      </c>
      <c r="K191" s="81">
        <v>17292.54</v>
      </c>
    </row>
    <row r="192" spans="7:11" ht="11.25" x14ac:dyDescent="0.2">
      <c r="G192" s="97">
        <v>254405</v>
      </c>
      <c r="H192" s="97">
        <v>9598</v>
      </c>
      <c r="J192" s="81">
        <v>316172</v>
      </c>
      <c r="K192" s="81">
        <v>16881.28</v>
      </c>
    </row>
    <row r="193" spans="7:11" ht="11.25" x14ac:dyDescent="0.2">
      <c r="G193" s="97">
        <v>254555</v>
      </c>
      <c r="H193" s="97">
        <v>9354</v>
      </c>
      <c r="J193" s="81">
        <v>316360</v>
      </c>
      <c r="K193" s="81">
        <v>16470.39</v>
      </c>
    </row>
    <row r="194" spans="7:11" ht="11.25" x14ac:dyDescent="0.2">
      <c r="G194" s="97">
        <v>254706</v>
      </c>
      <c r="H194" s="97">
        <v>9111</v>
      </c>
      <c r="J194" s="81">
        <v>316547</v>
      </c>
      <c r="K194" s="81">
        <v>16059.86</v>
      </c>
    </row>
    <row r="195" spans="7:11" ht="11.25" x14ac:dyDescent="0.2">
      <c r="G195" s="97">
        <v>254857</v>
      </c>
      <c r="H195" s="97">
        <v>8867</v>
      </c>
      <c r="J195" s="81">
        <v>316734</v>
      </c>
      <c r="K195" s="81">
        <v>15649.7</v>
      </c>
    </row>
    <row r="196" spans="7:11" ht="11.25" x14ac:dyDescent="0.2">
      <c r="G196" s="97">
        <v>255007</v>
      </c>
      <c r="H196" s="97">
        <v>8625</v>
      </c>
      <c r="J196" s="81">
        <v>316921</v>
      </c>
      <c r="K196" s="81">
        <v>15239.9</v>
      </c>
    </row>
    <row r="197" spans="7:11" ht="11.25" x14ac:dyDescent="0.2">
      <c r="G197" s="97">
        <v>255158</v>
      </c>
      <c r="H197" s="97">
        <v>8381</v>
      </c>
      <c r="J197" s="81">
        <v>317108</v>
      </c>
      <c r="K197" s="81">
        <v>14830.46</v>
      </c>
    </row>
    <row r="198" spans="7:11" ht="11.25" x14ac:dyDescent="0.2">
      <c r="G198" s="97">
        <v>255309</v>
      </c>
      <c r="H198" s="97">
        <v>8138</v>
      </c>
      <c r="J198" s="81">
        <v>317296</v>
      </c>
      <c r="K198" s="81">
        <v>14421.37</v>
      </c>
    </row>
    <row r="199" spans="7:11" ht="11.25" x14ac:dyDescent="0.2">
      <c r="G199" s="97">
        <v>255459</v>
      </c>
      <c r="H199" s="97">
        <v>7896</v>
      </c>
      <c r="J199" s="81">
        <v>317483</v>
      </c>
      <c r="K199" s="81">
        <v>14012.64</v>
      </c>
    </row>
    <row r="200" spans="7:11" ht="11.25" x14ac:dyDescent="0.2">
      <c r="G200" s="97">
        <v>255610</v>
      </c>
      <c r="H200" s="97">
        <v>7653</v>
      </c>
      <c r="J200" s="81">
        <v>317670</v>
      </c>
      <c r="K200" s="81">
        <v>13604.26</v>
      </c>
    </row>
    <row r="201" spans="7:11" ht="11.25" x14ac:dyDescent="0.2">
      <c r="G201" s="97">
        <v>255760</v>
      </c>
      <c r="H201" s="97">
        <v>7411</v>
      </c>
      <c r="J201" s="81">
        <v>317857</v>
      </c>
      <c r="K201" s="81">
        <v>13196.23</v>
      </c>
    </row>
    <row r="202" spans="7:11" ht="11.25" x14ac:dyDescent="0.2">
      <c r="G202" s="97">
        <v>255911</v>
      </c>
      <c r="H202" s="97">
        <v>7170</v>
      </c>
      <c r="J202" s="81">
        <v>318044</v>
      </c>
      <c r="K202" s="81">
        <v>12788.55</v>
      </c>
    </row>
    <row r="203" spans="7:11" ht="11.25" x14ac:dyDescent="0.2">
      <c r="G203" s="97">
        <v>256062</v>
      </c>
      <c r="H203" s="97">
        <v>6927</v>
      </c>
      <c r="J203" s="81">
        <v>318232</v>
      </c>
      <c r="K203" s="81">
        <v>12381.22</v>
      </c>
    </row>
    <row r="204" spans="7:11" ht="11.25" x14ac:dyDescent="0.2">
      <c r="G204" s="97">
        <v>256212</v>
      </c>
      <c r="H204" s="97">
        <v>6686</v>
      </c>
      <c r="J204" s="81">
        <v>318419</v>
      </c>
      <c r="K204" s="81">
        <v>11974.23</v>
      </c>
    </row>
    <row r="205" spans="7:11" ht="11.25" x14ac:dyDescent="0.2">
      <c r="G205" s="97">
        <v>256363</v>
      </c>
      <c r="H205" s="97">
        <v>6444</v>
      </c>
      <c r="J205" s="81">
        <v>318606</v>
      </c>
      <c r="K205" s="81">
        <v>11567.58</v>
      </c>
    </row>
    <row r="206" spans="7:11" ht="11.25" x14ac:dyDescent="0.2">
      <c r="G206" s="97">
        <v>256514</v>
      </c>
      <c r="H206" s="97">
        <v>6203</v>
      </c>
      <c r="J206" s="81">
        <v>318793</v>
      </c>
      <c r="K206" s="81">
        <v>11161.28</v>
      </c>
    </row>
    <row r="207" spans="7:11" ht="11.25" x14ac:dyDescent="0.2">
      <c r="G207" s="97">
        <v>256664</v>
      </c>
      <c r="H207" s="97">
        <v>5962</v>
      </c>
      <c r="J207" s="81">
        <v>318980</v>
      </c>
      <c r="K207" s="81">
        <v>10755.31</v>
      </c>
    </row>
    <row r="208" spans="7:11" ht="11.25" x14ac:dyDescent="0.2">
      <c r="G208" s="97">
        <v>256815</v>
      </c>
      <c r="H208" s="97">
        <v>5721</v>
      </c>
      <c r="J208" s="81">
        <v>319168</v>
      </c>
      <c r="K208" s="81">
        <v>10350</v>
      </c>
    </row>
    <row r="209" spans="7:11" ht="11.25" x14ac:dyDescent="0.2">
      <c r="G209" s="97">
        <v>256965</v>
      </c>
      <c r="H209" s="97">
        <v>5481</v>
      </c>
      <c r="J209" s="81">
        <v>319355</v>
      </c>
      <c r="K209" s="81">
        <v>9944</v>
      </c>
    </row>
    <row r="210" spans="7:11" ht="11.25" x14ac:dyDescent="0.2">
      <c r="G210" s="97">
        <v>257116</v>
      </c>
      <c r="H210" s="97">
        <v>5240</v>
      </c>
      <c r="J210" s="81">
        <v>319542</v>
      </c>
      <c r="K210" s="81">
        <v>9539</v>
      </c>
    </row>
    <row r="211" spans="7:11" ht="11.25" x14ac:dyDescent="0.2">
      <c r="G211" s="97">
        <v>257267</v>
      </c>
      <c r="H211" s="97">
        <v>5001</v>
      </c>
      <c r="J211" s="81">
        <v>319729</v>
      </c>
      <c r="K211" s="81">
        <v>9135</v>
      </c>
    </row>
    <row r="212" spans="7:11" ht="11.25" x14ac:dyDescent="0.2">
      <c r="G212" s="97">
        <v>257417</v>
      </c>
      <c r="H212" s="97">
        <v>4760</v>
      </c>
      <c r="J212" s="81">
        <v>319916</v>
      </c>
      <c r="K212" s="81">
        <v>8730</v>
      </c>
    </row>
    <row r="213" spans="7:11" ht="11.25" x14ac:dyDescent="0.2">
      <c r="G213" s="97">
        <v>257568</v>
      </c>
      <c r="H213" s="97">
        <v>4520</v>
      </c>
      <c r="J213" s="81">
        <v>320104</v>
      </c>
      <c r="K213" s="81">
        <v>8326</v>
      </c>
    </row>
    <row r="214" spans="7:11" ht="11.25" x14ac:dyDescent="0.2">
      <c r="G214" s="97">
        <v>257719</v>
      </c>
      <c r="H214" s="97">
        <v>4281</v>
      </c>
      <c r="J214" s="81">
        <v>320291</v>
      </c>
      <c r="K214" s="81">
        <v>7923</v>
      </c>
    </row>
    <row r="215" spans="7:11" ht="11.25" x14ac:dyDescent="0.2">
      <c r="G215" s="97">
        <v>257869</v>
      </c>
      <c r="H215" s="97">
        <v>4041</v>
      </c>
      <c r="J215" s="81">
        <v>320478</v>
      </c>
      <c r="K215" s="81">
        <v>7520</v>
      </c>
    </row>
    <row r="216" spans="7:11" ht="11.25" x14ac:dyDescent="0.2">
      <c r="G216" s="97">
        <v>258020</v>
      </c>
      <c r="H216" s="97">
        <v>3802</v>
      </c>
      <c r="J216" s="81">
        <v>320665</v>
      </c>
      <c r="K216" s="81">
        <v>7117</v>
      </c>
    </row>
    <row r="217" spans="7:11" ht="11.25" x14ac:dyDescent="0.2">
      <c r="G217" s="97">
        <v>258170</v>
      </c>
      <c r="H217" s="97">
        <v>3564</v>
      </c>
      <c r="J217" s="81">
        <v>320852</v>
      </c>
      <c r="K217" s="81">
        <v>6714</v>
      </c>
    </row>
    <row r="218" spans="7:11" ht="11.25" x14ac:dyDescent="0.2">
      <c r="G218" s="97">
        <v>258321</v>
      </c>
      <c r="H218" s="97">
        <v>3324</v>
      </c>
      <c r="J218" s="81">
        <v>321039</v>
      </c>
      <c r="K218" s="81">
        <v>6311</v>
      </c>
    </row>
    <row r="219" spans="7:11" ht="11.25" x14ac:dyDescent="0.2">
      <c r="G219" s="97">
        <v>258472</v>
      </c>
      <c r="H219" s="97">
        <v>3086</v>
      </c>
      <c r="J219" s="81">
        <v>321227</v>
      </c>
      <c r="K219" s="81">
        <v>5909</v>
      </c>
    </row>
    <row r="220" spans="7:11" ht="11.25" x14ac:dyDescent="0.2">
      <c r="G220" s="97">
        <v>258622</v>
      </c>
      <c r="H220" s="97">
        <v>2847</v>
      </c>
      <c r="J220" s="81">
        <v>321414</v>
      </c>
      <c r="K220" s="81">
        <v>5508</v>
      </c>
    </row>
    <row r="221" spans="7:11" ht="11.25" x14ac:dyDescent="0.2">
      <c r="G221" s="97">
        <v>258773</v>
      </c>
      <c r="H221" s="97">
        <v>2609</v>
      </c>
      <c r="J221" s="81">
        <v>321601</v>
      </c>
      <c r="K221" s="81">
        <v>5106</v>
      </c>
    </row>
    <row r="222" spans="7:11" ht="11.25" x14ac:dyDescent="0.2">
      <c r="G222" s="97">
        <v>258924</v>
      </c>
      <c r="H222" s="97">
        <v>2371</v>
      </c>
      <c r="J222" s="81">
        <v>321788</v>
      </c>
      <c r="K222" s="81">
        <v>4705</v>
      </c>
    </row>
    <row r="223" spans="7:11" ht="11.25" x14ac:dyDescent="0.2">
      <c r="G223" s="97">
        <v>259074</v>
      </c>
      <c r="H223" s="97">
        <v>2133</v>
      </c>
      <c r="J223" s="81">
        <v>321975</v>
      </c>
      <c r="K223" s="81">
        <v>4304</v>
      </c>
    </row>
    <row r="224" spans="7:11" ht="11.25" x14ac:dyDescent="0.2">
      <c r="G224" s="97">
        <v>259225</v>
      </c>
      <c r="H224" s="97">
        <v>1895</v>
      </c>
      <c r="J224" s="81">
        <v>322163</v>
      </c>
      <c r="K224" s="81">
        <v>3904</v>
      </c>
    </row>
    <row r="225" spans="7:11" ht="11.25" x14ac:dyDescent="0.2">
      <c r="G225" s="97">
        <v>259375</v>
      </c>
      <c r="H225" s="97">
        <v>1658</v>
      </c>
      <c r="J225" s="81">
        <v>322350</v>
      </c>
      <c r="K225" s="81">
        <v>3504</v>
      </c>
    </row>
    <row r="226" spans="7:11" ht="11.25" x14ac:dyDescent="0.2">
      <c r="G226" s="97">
        <v>259526</v>
      </c>
      <c r="H226" s="97">
        <v>1420</v>
      </c>
      <c r="J226" s="81">
        <v>322537</v>
      </c>
      <c r="K226" s="81">
        <v>3104</v>
      </c>
    </row>
    <row r="227" spans="7:11" ht="11.25" x14ac:dyDescent="0.2">
      <c r="G227" s="97">
        <v>259677</v>
      </c>
      <c r="H227" s="97">
        <v>1184</v>
      </c>
      <c r="J227" s="81">
        <v>322724</v>
      </c>
      <c r="K227" s="81">
        <v>2704</v>
      </c>
    </row>
    <row r="228" spans="7:11" ht="11.25" x14ac:dyDescent="0.2">
      <c r="G228" s="97">
        <v>259827</v>
      </c>
      <c r="H228" s="97">
        <v>946</v>
      </c>
      <c r="J228" s="81">
        <v>322911</v>
      </c>
      <c r="K228" s="81">
        <v>2305</v>
      </c>
    </row>
    <row r="229" spans="7:11" ht="11.25" x14ac:dyDescent="0.2">
      <c r="G229" s="97">
        <v>259978</v>
      </c>
      <c r="H229" s="97">
        <v>709</v>
      </c>
      <c r="J229" s="81">
        <v>323099</v>
      </c>
      <c r="K229" s="81">
        <v>1906</v>
      </c>
    </row>
    <row r="230" spans="7:11" ht="11.25" x14ac:dyDescent="0.2">
      <c r="G230" s="97">
        <v>260129</v>
      </c>
      <c r="H230" s="97">
        <v>473</v>
      </c>
      <c r="J230" s="81">
        <v>323286</v>
      </c>
      <c r="K230" s="81">
        <v>1507</v>
      </c>
    </row>
    <row r="231" spans="7:11" ht="11.25" x14ac:dyDescent="0.2">
      <c r="G231" s="97">
        <v>260279</v>
      </c>
      <c r="H231" s="97">
        <v>236</v>
      </c>
      <c r="J231" s="81">
        <v>323473</v>
      </c>
      <c r="K231" s="81">
        <v>1109</v>
      </c>
    </row>
    <row r="232" spans="7:11" ht="11.25" x14ac:dyDescent="0.2">
      <c r="G232" s="97">
        <v>260430</v>
      </c>
      <c r="H232" s="82">
        <v>0</v>
      </c>
      <c r="J232" s="81">
        <v>323660</v>
      </c>
      <c r="K232" s="81">
        <v>711</v>
      </c>
    </row>
    <row r="233" spans="7:11" ht="11.25" x14ac:dyDescent="0.2">
      <c r="G233" s="83">
        <v>260580</v>
      </c>
      <c r="H233" s="83">
        <v>0</v>
      </c>
      <c r="J233" s="81">
        <v>323847</v>
      </c>
      <c r="K233" s="82">
        <v>0</v>
      </c>
    </row>
    <row r="234" spans="7:11" ht="11.25" x14ac:dyDescent="0.2">
      <c r="G234" s="99"/>
      <c r="H234" s="99"/>
      <c r="J234" s="83">
        <v>324182</v>
      </c>
      <c r="K234" s="83">
        <v>0</v>
      </c>
    </row>
    <row r="235" spans="7:11" x14ac:dyDescent="0.25">
      <c r="H235" s="97"/>
      <c r="K235" s="97"/>
    </row>
    <row r="236" spans="7:11" x14ac:dyDescent="0.25">
      <c r="J236" s="81"/>
      <c r="K236" s="81"/>
    </row>
    <row r="237" spans="7:11" x14ac:dyDescent="0.25">
      <c r="J237" s="81"/>
      <c r="K237" s="81"/>
    </row>
    <row r="238" spans="7:11" x14ac:dyDescent="0.25">
      <c r="J238" s="81"/>
      <c r="K238" s="81"/>
    </row>
    <row r="239" spans="7:11" x14ac:dyDescent="0.25">
      <c r="J239" s="81"/>
      <c r="K239" s="81"/>
    </row>
    <row r="240" spans="7:11" x14ac:dyDescent="0.25">
      <c r="J240" s="81"/>
      <c r="K240" s="81"/>
    </row>
    <row r="241" spans="10:11" x14ac:dyDescent="0.25">
      <c r="J241" s="81"/>
      <c r="K241" s="81"/>
    </row>
    <row r="242" spans="10:11" x14ac:dyDescent="0.25">
      <c r="J242" s="81"/>
      <c r="K242" s="81"/>
    </row>
    <row r="243" spans="10:11" x14ac:dyDescent="0.25">
      <c r="J243" s="81"/>
      <c r="K243" s="81"/>
    </row>
    <row r="244" spans="10:11" x14ac:dyDescent="0.25">
      <c r="J244" s="81"/>
      <c r="K244" s="81"/>
    </row>
    <row r="245" spans="10:11" x14ac:dyDescent="0.25">
      <c r="J245" s="81"/>
      <c r="K245" s="81"/>
    </row>
    <row r="246" spans="10:11" x14ac:dyDescent="0.25">
      <c r="J246" s="81"/>
      <c r="K246" s="81"/>
    </row>
    <row r="247" spans="10:11" x14ac:dyDescent="0.25">
      <c r="J247" s="81"/>
      <c r="K247" s="81"/>
    </row>
    <row r="248" spans="10:11" x14ac:dyDescent="0.25">
      <c r="J248" s="81"/>
      <c r="K248" s="81"/>
    </row>
    <row r="249" spans="10:11" x14ac:dyDescent="0.25">
      <c r="J249" s="81"/>
      <c r="K249" s="81"/>
    </row>
    <row r="250" spans="10:11" x14ac:dyDescent="0.25">
      <c r="J250" s="81"/>
      <c r="K250" s="81"/>
    </row>
    <row r="251" spans="10:11" x14ac:dyDescent="0.25">
      <c r="J251" s="81"/>
      <c r="K251" s="81"/>
    </row>
    <row r="252" spans="10:11" x14ac:dyDescent="0.25">
      <c r="J252" s="81"/>
      <c r="K252" s="81"/>
    </row>
    <row r="253" spans="10:11" x14ac:dyDescent="0.25">
      <c r="J253" s="81"/>
      <c r="K253" s="81"/>
    </row>
    <row r="254" spans="10:11" x14ac:dyDescent="0.25">
      <c r="J254" s="81"/>
      <c r="K254" s="81"/>
    </row>
    <row r="255" spans="10:11" x14ac:dyDescent="0.25">
      <c r="J255" s="81"/>
      <c r="K255" s="81"/>
    </row>
    <row r="256" spans="10:11" x14ac:dyDescent="0.25">
      <c r="J256" s="81"/>
      <c r="K256" s="81"/>
    </row>
    <row r="257" spans="10:11" x14ac:dyDescent="0.25">
      <c r="J257" s="81"/>
      <c r="K257" s="81"/>
    </row>
    <row r="258" spans="10:11" x14ac:dyDescent="0.25">
      <c r="J258" s="81"/>
      <c r="K258" s="81"/>
    </row>
    <row r="259" spans="10:11" x14ac:dyDescent="0.25">
      <c r="J259" s="81"/>
      <c r="K259" s="81"/>
    </row>
    <row r="260" spans="10:11" x14ac:dyDescent="0.25">
      <c r="J260" s="81"/>
      <c r="K260" s="81"/>
    </row>
    <row r="261" spans="10:11" x14ac:dyDescent="0.25">
      <c r="J261" s="81"/>
      <c r="K261" s="81"/>
    </row>
    <row r="262" spans="10:11" x14ac:dyDescent="0.25">
      <c r="J262" s="81"/>
      <c r="K262" s="81"/>
    </row>
    <row r="263" spans="10:11" x14ac:dyDescent="0.25">
      <c r="J263" s="81"/>
      <c r="K263" s="81"/>
    </row>
    <row r="264" spans="10:11" x14ac:dyDescent="0.25">
      <c r="J264" s="81"/>
      <c r="K264" s="81"/>
    </row>
    <row r="265" spans="10:11" x14ac:dyDescent="0.25">
      <c r="J265" s="81"/>
      <c r="K265" s="81"/>
    </row>
    <row r="266" spans="10:11" x14ac:dyDescent="0.25">
      <c r="J266" s="81"/>
      <c r="K266" s="81"/>
    </row>
    <row r="267" spans="10:11" x14ac:dyDescent="0.25">
      <c r="J267" s="81"/>
      <c r="K267" s="81"/>
    </row>
    <row r="268" spans="10:11" x14ac:dyDescent="0.25">
      <c r="J268" s="81"/>
      <c r="K268" s="81"/>
    </row>
    <row r="269" spans="10:11" x14ac:dyDescent="0.25">
      <c r="J269" s="81"/>
      <c r="K269" s="81"/>
    </row>
    <row r="270" spans="10:11" x14ac:dyDescent="0.25">
      <c r="J270" s="81"/>
      <c r="K270" s="81"/>
    </row>
    <row r="271" spans="10:11" x14ac:dyDescent="0.25">
      <c r="J271" s="81"/>
      <c r="K271" s="81"/>
    </row>
    <row r="272" spans="10:11" x14ac:dyDescent="0.25">
      <c r="J272" s="81"/>
      <c r="K272" s="81"/>
    </row>
    <row r="273" spans="10:11" x14ac:dyDescent="0.25">
      <c r="J273" s="81"/>
      <c r="K273" s="81"/>
    </row>
    <row r="274" spans="10:11" x14ac:dyDescent="0.25">
      <c r="J274" s="81"/>
      <c r="K274" s="81"/>
    </row>
    <row r="275" spans="10:11" x14ac:dyDescent="0.25">
      <c r="J275" s="81"/>
      <c r="K275" s="81"/>
    </row>
    <row r="276" spans="10:11" x14ac:dyDescent="0.25">
      <c r="J276" s="81"/>
      <c r="K276" s="81"/>
    </row>
    <row r="277" spans="10:11" x14ac:dyDescent="0.25">
      <c r="J277" s="81"/>
      <c r="K277" s="81"/>
    </row>
    <row r="278" spans="10:11" x14ac:dyDescent="0.25">
      <c r="J278" s="81"/>
      <c r="K278" s="81"/>
    </row>
    <row r="279" spans="10:11" x14ac:dyDescent="0.25">
      <c r="J279" s="81"/>
      <c r="K279" s="81"/>
    </row>
    <row r="280" spans="10:11" x14ac:dyDescent="0.25">
      <c r="J280" s="81"/>
      <c r="K280" s="81"/>
    </row>
    <row r="281" spans="10:11" x14ac:dyDescent="0.25">
      <c r="J281" s="81"/>
      <c r="K281" s="81"/>
    </row>
    <row r="282" spans="10:11" x14ac:dyDescent="0.25">
      <c r="J282" s="81"/>
      <c r="K282" s="82"/>
    </row>
    <row r="283" spans="10:11" x14ac:dyDescent="0.25">
      <c r="J283" s="83"/>
      <c r="K283" s="8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Caso 1</vt:lpstr>
      <vt:lpstr>Caso 2</vt:lpstr>
      <vt:lpstr>Caso 3</vt:lpstr>
      <vt:lpstr>Tablas</vt:lpstr>
    </vt:vector>
  </TitlesOfParts>
  <Company>FIAT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arfs000022</dc:creator>
  <cp:lastModifiedBy>lugezz</cp:lastModifiedBy>
  <cp:lastPrinted>2014-09-30T21:15:36Z</cp:lastPrinted>
  <dcterms:created xsi:type="dcterms:W3CDTF">2012-03-26T13:59:55Z</dcterms:created>
  <dcterms:modified xsi:type="dcterms:W3CDTF">2022-06-26T23:51:29Z</dcterms:modified>
</cp:coreProperties>
</file>